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 = '1.0' encoding = 'UTF-8' standalone = 'yes'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package/2006/relationships/metadata/core-properties" Target="docProps/core.xml"/>
   <Relationship Id="rId3" Type="http://schemas.openxmlformats.org/officeDocument/2006/relationships/extended-properties" Target="docProps/app.xml"/>
   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>
    <mc:Choice Requires="x15">
      <x15ac:absPath xmlns:x15ac="http://schemas.microsoft.com/office/spreadsheetml/2010/11/ac" url="C:\Seafile\合同项目\论文修改\201703-Enhaced Cl- Selectivity\MEMSCI_2018_1014\"/>
    </mc:Choice>
  </mc:AlternateContent>
  <bookViews>
    <workbookView xWindow="10905" yWindow="4275" windowWidth="25230" windowHeight="6150"/>
  </bookViews>
  <sheets>
    <sheet name="ProcessData" sheetId="5" r:id="rId1"/>
    <sheet name="CostEstimation" sheetId="6" r:id="rId2"/>
  </sheets>
  <calcPr calcId="162913"/>
</workbook>
</file>

<file path=xl/calcChain.xml><?xml version="1.0" encoding="utf-8"?>
<calcChain xmlns="http://schemas.openxmlformats.org/spreadsheetml/2006/main">
  <c r="M6" i="6" l="1"/>
  <c r="B5" i="5" l="1"/>
  <c r="B6" i="5"/>
  <c r="B7" i="5"/>
  <c r="B8" i="5"/>
  <c r="B9" i="5"/>
  <c r="B10" i="5"/>
  <c r="D42" i="5" l="1"/>
  <c r="D44" i="5"/>
  <c r="D43" i="5"/>
  <c r="D45" i="5"/>
  <c r="D46" i="5" l="1"/>
  <c r="M23" i="5" l="1"/>
  <c r="N6" i="6" l="1"/>
  <c r="E45" i="5"/>
  <c r="B18" i="5" l="1"/>
  <c r="B15" i="5"/>
  <c r="M25" i="5"/>
  <c r="B17" i="5"/>
  <c r="M28" i="5"/>
  <c r="B14" i="5"/>
  <c r="B16" i="5" l="1"/>
  <c r="B19" i="5"/>
  <c r="M26" i="5"/>
  <c r="M24" i="5"/>
  <c r="M27" i="5"/>
  <c r="M32" i="5"/>
  <c r="D41" i="5"/>
  <c r="E41" i="5"/>
  <c r="C41" i="5"/>
  <c r="J41" i="5"/>
  <c r="K41" i="5"/>
  <c r="I41" i="5"/>
  <c r="H41" i="5"/>
  <c r="G41" i="5"/>
  <c r="C50" i="5" l="1"/>
  <c r="D50" i="5"/>
  <c r="N32" i="5"/>
  <c r="M8" i="6"/>
  <c r="N8" i="6" s="1"/>
  <c r="M9" i="6"/>
  <c r="N9" i="6" s="1"/>
  <c r="M10" i="6"/>
  <c r="N10" i="6" s="1"/>
  <c r="M11" i="6"/>
  <c r="N11" i="6" s="1"/>
  <c r="M7" i="6"/>
  <c r="N7" i="6" s="1"/>
  <c r="C20" i="6" l="1"/>
  <c r="C8" i="6"/>
  <c r="C9" i="6" s="1"/>
  <c r="C21" i="6" l="1"/>
  <c r="C25" i="6" s="1"/>
  <c r="C24" i="6" l="1"/>
  <c r="C38" i="6" s="1"/>
  <c r="C39" i="6" s="1"/>
  <c r="C40" i="6" s="1"/>
  <c r="C41" i="6" s="1"/>
  <c r="C43" i="6" s="1"/>
  <c r="C44" i="6" s="1"/>
  <c r="C27" i="6" l="1"/>
  <c r="C26" i="6"/>
  <c r="C29" i="6" l="1"/>
  <c r="C46" i="6" s="1"/>
  <c r="C30" i="6"/>
  <c r="C28" i="6"/>
  <c r="C31" i="6"/>
  <c r="C32" i="6" s="1"/>
  <c r="C48" i="6" s="1"/>
  <c r="M37" i="5"/>
  <c r="M34" i="5"/>
  <c r="M35" i="5"/>
  <c r="M36" i="5"/>
  <c r="N36" i="5" s="1"/>
  <c r="M33" i="5"/>
  <c r="N34" i="5" l="1"/>
  <c r="N33" i="5"/>
  <c r="N35" i="5"/>
  <c r="N37" i="5"/>
  <c r="C33" i="6"/>
  <c r="C34" i="6" s="1"/>
  <c r="C50" i="6"/>
  <c r="K43" i="5" l="1"/>
  <c r="K44" i="5"/>
  <c r="K45" i="5"/>
  <c r="K46" i="5"/>
  <c r="K42" i="5"/>
  <c r="J43" i="5"/>
  <c r="J44" i="5"/>
  <c r="J45" i="5"/>
  <c r="J46" i="5"/>
  <c r="J42" i="5"/>
  <c r="I43" i="5"/>
  <c r="I44" i="5"/>
  <c r="I45" i="5"/>
  <c r="I46" i="5"/>
  <c r="I42" i="5"/>
  <c r="H43" i="5"/>
  <c r="H44" i="5"/>
  <c r="H45" i="5"/>
  <c r="H46" i="5"/>
  <c r="H42" i="5"/>
  <c r="G43" i="5"/>
  <c r="G44" i="5"/>
  <c r="G45" i="5"/>
  <c r="G46" i="5"/>
  <c r="G42" i="5"/>
  <c r="F43" i="5"/>
  <c r="F44" i="5"/>
  <c r="F45" i="5"/>
  <c r="F46" i="5"/>
  <c r="F42" i="5"/>
  <c r="E43" i="5"/>
  <c r="D52" i="5" s="1"/>
  <c r="E44" i="5"/>
  <c r="D53" i="5" s="1"/>
  <c r="D54" i="5"/>
  <c r="E46" i="5"/>
  <c r="D55" i="5" s="1"/>
  <c r="E42" i="5"/>
  <c r="D51" i="5" s="1"/>
  <c r="C43" i="5"/>
  <c r="C44" i="5"/>
  <c r="C45" i="5"/>
  <c r="C46" i="5"/>
  <c r="C42" i="5"/>
  <c r="C51" i="5" l="1"/>
  <c r="C52" i="5"/>
  <c r="C55" i="5"/>
  <c r="C53" i="5"/>
  <c r="J55" i="5"/>
  <c r="G55" i="5"/>
  <c r="I55" i="5"/>
  <c r="H55" i="5"/>
  <c r="K55" i="5"/>
  <c r="I54" i="5"/>
  <c r="G54" i="5"/>
  <c r="J54" i="5"/>
  <c r="H54" i="5"/>
  <c r="K54" i="5"/>
  <c r="H53" i="5"/>
  <c r="J53" i="5"/>
  <c r="K53" i="5"/>
  <c r="G53" i="5"/>
  <c r="I53" i="5"/>
  <c r="C54" i="5"/>
  <c r="K51" i="5"/>
  <c r="G51" i="5"/>
  <c r="I51" i="5"/>
  <c r="J51" i="5"/>
  <c r="H51" i="5"/>
  <c r="K52" i="5"/>
  <c r="G52" i="5"/>
  <c r="H52" i="5"/>
  <c r="J52" i="5"/>
  <c r="I52" i="5"/>
</calcChain>
</file>

<file path=xl/sharedStrings.xml><?xml version="1.0" encoding="utf-8"?>
<sst xmlns="http://schemas.openxmlformats.org/spreadsheetml/2006/main" count="200" uniqueCount="134">
  <si>
    <t>Flow/LPH</t>
    <phoneticPr fontId="3" type="noConversion"/>
  </si>
  <si>
    <t>Capital+chemical+effluent disposal</t>
    <phoneticPr fontId="4" type="noConversion"/>
  </si>
  <si>
    <t>Total cost</t>
    <phoneticPr fontId="4" type="noConversion"/>
  </si>
  <si>
    <t>$/day</t>
    <phoneticPr fontId="4" type="noConversion"/>
  </si>
  <si>
    <t>$/t</t>
    <phoneticPr fontId="4" type="noConversion"/>
  </si>
  <si>
    <t>$/day</t>
    <phoneticPr fontId="4" type="noConversion"/>
  </si>
  <si>
    <t>300 work days for 1 year</t>
    <phoneticPr fontId="4" type="noConversion"/>
  </si>
  <si>
    <t xml:space="preserve">DD dialyzer + peripheral equipments </t>
    <phoneticPr fontId="4" type="noConversion"/>
  </si>
  <si>
    <t>$</t>
    <phoneticPr fontId="4" type="noConversion"/>
  </si>
  <si>
    <t>Capital cost</t>
    <phoneticPr fontId="4" type="noConversion"/>
  </si>
  <si>
    <t>year</t>
    <phoneticPr fontId="4" type="noConversion"/>
  </si>
  <si>
    <t>Life-span of DD system</t>
    <phoneticPr fontId="4" type="noConversion"/>
  </si>
  <si>
    <t>50% of DD dialyzer</t>
    <phoneticPr fontId="4" type="noConversion"/>
  </si>
  <si>
    <t>$</t>
    <phoneticPr fontId="4" type="noConversion"/>
  </si>
  <si>
    <t>Cost of peripheral equipments</t>
    <phoneticPr fontId="4" type="noConversion"/>
  </si>
  <si>
    <t>1.5 times of membrane cost</t>
    <phoneticPr fontId="4" type="noConversion"/>
  </si>
  <si>
    <t>$</t>
    <phoneticPr fontId="4" type="noConversion"/>
  </si>
  <si>
    <t>Cost of DD dialyzer</t>
    <phoneticPr fontId="4" type="noConversion"/>
  </si>
  <si>
    <t>$</t>
    <phoneticPr fontId="4" type="noConversion"/>
  </si>
  <si>
    <t>Cost of membrane</t>
    <phoneticPr fontId="4" type="noConversion"/>
  </si>
  <si>
    <t>80% effective area</t>
    <phoneticPr fontId="4" type="noConversion"/>
  </si>
  <si>
    <t>Total area of membrane needed</t>
    <phoneticPr fontId="4" type="noConversion"/>
  </si>
  <si>
    <t>TWDDA AEM</t>
    <phoneticPr fontId="4" type="noConversion"/>
  </si>
  <si>
    <t>AEM membrane price</t>
    <phoneticPr fontId="4" type="noConversion"/>
  </si>
  <si>
    <t>Cost estimation for full system</t>
    <phoneticPr fontId="4" type="noConversion"/>
  </si>
  <si>
    <t>t/day</t>
    <phoneticPr fontId="4" type="noConversion"/>
  </si>
  <si>
    <t>mol/h</t>
    <phoneticPr fontId="4" type="noConversion"/>
  </si>
  <si>
    <t>L/h</t>
    <phoneticPr fontId="4" type="noConversion"/>
  </si>
  <si>
    <t>Outlet flow rate of purified zinc electrolyte</t>
    <phoneticPr fontId="4" type="noConversion"/>
  </si>
  <si>
    <t>DD scale-up for plant</t>
    <phoneticPr fontId="4" type="noConversion"/>
  </si>
  <si>
    <t>mg/L</t>
    <phoneticPr fontId="4" type="noConversion"/>
  </si>
  <si>
    <t>Effective membrane area of lab DD dialyzer</t>
    <phoneticPr fontId="4" type="noConversion"/>
  </si>
  <si>
    <t>Target flow intensity</t>
    <phoneticPr fontId="4" type="noConversion"/>
  </si>
  <si>
    <t>g/h</t>
    <phoneticPr fontId="4" type="noConversion"/>
  </si>
  <si>
    <t>g/day</t>
    <phoneticPr fontId="4" type="noConversion"/>
  </si>
  <si>
    <t>Dechlorination capacity needed</t>
    <phoneticPr fontId="4" type="noConversion"/>
  </si>
  <si>
    <t>Total electrolyte circulation rate</t>
    <phoneticPr fontId="4" type="noConversion"/>
  </si>
  <si>
    <t>Facts of the full scale plant</t>
    <phoneticPr fontId="4" type="noConversion"/>
  </si>
  <si>
    <t>Removal ratios</t>
    <phoneticPr fontId="3" type="noConversion"/>
  </si>
  <si>
    <r>
      <t>[Cl</t>
    </r>
    <r>
      <rPr>
        <vertAlign val="superscript"/>
        <sz val="10"/>
        <color theme="1"/>
        <rFont val="Arial"/>
        <family val="2"/>
      </rPr>
      <t>-</t>
    </r>
    <r>
      <rPr>
        <sz val="10"/>
        <color theme="1"/>
        <rFont val="Arial"/>
        <family val="2"/>
      </rPr>
      <t>] in spent electrolyte</t>
    </r>
    <phoneticPr fontId="4" type="noConversion"/>
  </si>
  <si>
    <r>
      <t>[SO</t>
    </r>
    <r>
      <rPr>
        <vertAlign val="subscript"/>
        <sz val="10"/>
        <color theme="1"/>
        <rFont val="Arial"/>
        <family val="2"/>
      </rPr>
      <t>4</t>
    </r>
    <r>
      <rPr>
        <vertAlign val="superscript"/>
        <sz val="10"/>
        <color theme="1"/>
        <rFont val="Arial"/>
        <family val="2"/>
      </rPr>
      <t>2-</t>
    </r>
    <r>
      <rPr>
        <sz val="10"/>
        <color theme="1"/>
        <rFont val="Arial"/>
        <family val="2"/>
      </rPr>
      <t>] in spent electrolyte</t>
    </r>
    <phoneticPr fontId="4" type="noConversion"/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</si>
  <si>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/day</t>
    </r>
    <phoneticPr fontId="4" type="noConversion"/>
  </si>
  <si>
    <r>
      <t>Discharge of spent electrolyte to maintain [Cl</t>
    </r>
    <r>
      <rPr>
        <vertAlign val="superscript"/>
        <sz val="10"/>
        <color theme="1"/>
        <rFont val="Arial"/>
        <family val="2"/>
      </rPr>
      <t>-</t>
    </r>
    <r>
      <rPr>
        <sz val="10"/>
        <color theme="1"/>
        <rFont val="Arial"/>
        <family val="2"/>
      </rPr>
      <t>] level</t>
    </r>
    <phoneticPr fontId="4" type="noConversion"/>
  </si>
  <si>
    <r>
      <t>L/(h*m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  <phoneticPr fontId="4" type="noConversion"/>
  </si>
  <si>
    <r>
      <t>m</t>
    </r>
    <r>
      <rPr>
        <vertAlign val="superscript"/>
        <sz val="10"/>
        <color theme="1"/>
        <rFont val="Arial"/>
        <family val="2"/>
      </rPr>
      <t>2</t>
    </r>
    <phoneticPr fontId="4" type="noConversion"/>
  </si>
  <si>
    <r>
      <t>Amount of SO</t>
    </r>
    <r>
      <rPr>
        <vertAlign val="subscript"/>
        <sz val="10"/>
        <color theme="1"/>
        <rFont val="Arial"/>
        <family val="2"/>
      </rPr>
      <t>4</t>
    </r>
    <r>
      <rPr>
        <vertAlign val="superscript"/>
        <sz val="10"/>
        <color theme="1"/>
        <rFont val="Arial"/>
        <family val="2"/>
      </rPr>
      <t>2-</t>
    </r>
    <r>
      <rPr>
        <sz val="10"/>
        <color theme="1"/>
        <rFont val="Arial"/>
        <family val="2"/>
      </rPr>
      <t xml:space="preserve"> loss</t>
    </r>
    <phoneticPr fontId="4" type="noConversion"/>
  </si>
  <si>
    <r>
      <t xml:space="preserve">Calculated as 98% </t>
    </r>
    <r>
      <rPr>
        <sz val="10"/>
        <color theme="1"/>
        <rFont val="Arial"/>
        <family val="2"/>
      </rPr>
      <t>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SO</t>
    </r>
    <r>
      <rPr>
        <vertAlign val="subscript"/>
        <sz val="10"/>
        <color theme="1"/>
        <rFont val="Arial"/>
        <family val="2"/>
      </rPr>
      <t>4</t>
    </r>
    <phoneticPr fontId="4" type="noConversion"/>
  </si>
  <si>
    <r>
      <t>ρ=1.84 t/m</t>
    </r>
    <r>
      <rPr>
        <i/>
        <vertAlign val="superscript"/>
        <sz val="10"/>
        <color theme="1"/>
        <rFont val="Arial"/>
        <family val="2"/>
      </rPr>
      <t>3</t>
    </r>
    <phoneticPr fontId="4" type="noConversion"/>
  </si>
  <si>
    <r>
      <t xml:space="preserve">Water osmosis + </t>
    </r>
    <r>
      <rPr>
        <sz val="10"/>
        <color theme="1"/>
        <rFont val="Arial"/>
        <family val="2"/>
      </rPr>
      <t>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SO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makeup</t>
    </r>
    <phoneticPr fontId="4" type="noConversion"/>
  </si>
  <si>
    <r>
      <t>$/m</t>
    </r>
    <r>
      <rPr>
        <vertAlign val="superscript"/>
        <sz val="10"/>
        <color theme="1"/>
        <rFont val="Arial"/>
        <family val="2"/>
      </rPr>
      <t>2</t>
    </r>
    <phoneticPr fontId="4" type="noConversion"/>
  </si>
  <si>
    <r>
      <t>$/m</t>
    </r>
    <r>
      <rPr>
        <vertAlign val="superscript"/>
        <sz val="10"/>
        <color theme="1"/>
        <rFont val="Arial"/>
        <family val="2"/>
      </rPr>
      <t>3</t>
    </r>
    <phoneticPr fontId="4" type="noConversion"/>
  </si>
  <si>
    <r>
      <t>Price of 98% 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SO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in zinc plant</t>
    </r>
    <phoneticPr fontId="4" type="noConversion"/>
  </si>
  <si>
    <r>
      <t>Chemical cost for H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SO</t>
    </r>
    <r>
      <rPr>
        <b/>
        <vertAlign val="subscript"/>
        <sz val="10"/>
        <color theme="1"/>
        <rFont val="Arial"/>
        <family val="2"/>
      </rPr>
      <t>4</t>
    </r>
    <r>
      <rPr>
        <b/>
        <sz val="10"/>
        <color theme="1"/>
        <rFont val="Arial"/>
        <family val="2"/>
      </rPr>
      <t xml:space="preserve"> makeup</t>
    </r>
    <phoneticPr fontId="4" type="noConversion"/>
  </si>
  <si>
    <t>Avg ΔFlow</t>
    <phoneticPr fontId="3" type="noConversion"/>
  </si>
  <si>
    <t>ΔFlow1</t>
    <phoneticPr fontId="3" type="noConversion"/>
  </si>
  <si>
    <t>ΔFlow2</t>
    <phoneticPr fontId="3" type="noConversion"/>
  </si>
  <si>
    <t>Performance parameters from lab tests</t>
    <phoneticPr fontId="4" type="noConversion"/>
  </si>
  <si>
    <t>Fixed parameters in lab tests</t>
    <phoneticPr fontId="4" type="noConversion"/>
  </si>
  <si>
    <t>g/L</t>
    <phoneticPr fontId="7" type="noConversion"/>
  </si>
  <si>
    <t>Average detal flow ratio</t>
    <phoneticPr fontId="7" type="noConversion"/>
  </si>
  <si>
    <t>Dechlorination capacity of lab DD dialyzer</t>
    <phoneticPr fontId="4" type="noConversion"/>
  </si>
  <si>
    <t>g/h</t>
    <phoneticPr fontId="7" type="noConversion"/>
  </si>
  <si>
    <t>Scale-up factor</t>
    <phoneticPr fontId="7" type="noConversion"/>
  </si>
  <si>
    <t>mol/L</t>
    <phoneticPr fontId="4" type="noConversion"/>
  </si>
  <si>
    <t>Results of cost estimation from the left procedure:</t>
    <phoneticPr fontId="4" type="noConversion"/>
  </si>
  <si>
    <r>
      <t>Amount of 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SO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makeup</t>
    </r>
    <phoneticPr fontId="4" type="noConversion"/>
  </si>
  <si>
    <t>Total volume expasion of zinc electrolyte</t>
    <phoneticPr fontId="4" type="noConversion"/>
  </si>
  <si>
    <t>Permselectivities</t>
    <phoneticPr fontId="3" type="noConversion"/>
  </si>
  <si>
    <r>
      <t>[Cl</t>
    </r>
    <r>
      <rPr>
        <vertAlign val="superscript"/>
        <sz val="10"/>
        <color theme="1"/>
        <rFont val="Arial"/>
        <family val="2"/>
      </rPr>
      <t>-</t>
    </r>
    <r>
      <rPr>
        <sz val="10"/>
        <color theme="1"/>
        <rFont val="Arial"/>
        <family val="2"/>
      </rPr>
      <t>]/M</t>
    </r>
    <phoneticPr fontId="3" type="noConversion"/>
  </si>
  <si>
    <r>
      <t>[F</t>
    </r>
    <r>
      <rPr>
        <vertAlign val="superscript"/>
        <sz val="10"/>
        <color theme="1"/>
        <rFont val="Arial"/>
        <family val="2"/>
      </rPr>
      <t>-</t>
    </r>
    <r>
      <rPr>
        <sz val="10"/>
        <color theme="1"/>
        <rFont val="Arial"/>
        <family val="2"/>
      </rPr>
      <t>]/M</t>
    </r>
    <phoneticPr fontId="3" type="noConversion"/>
  </si>
  <si>
    <r>
      <t>[SO</t>
    </r>
    <r>
      <rPr>
        <vertAlign val="subscript"/>
        <sz val="10"/>
        <color theme="1"/>
        <rFont val="Arial"/>
        <family val="2"/>
      </rPr>
      <t>4</t>
    </r>
    <r>
      <rPr>
        <vertAlign val="superscript"/>
        <sz val="10"/>
        <color theme="1"/>
        <rFont val="Arial"/>
        <family val="2"/>
      </rPr>
      <t>2-</t>
    </r>
    <r>
      <rPr>
        <sz val="10"/>
        <color theme="1"/>
        <rFont val="Arial"/>
        <family val="2"/>
      </rPr>
      <t>]/M</t>
    </r>
    <phoneticPr fontId="3" type="noConversion"/>
  </si>
  <si>
    <r>
      <t>[H</t>
    </r>
    <r>
      <rPr>
        <vertAlign val="superscript"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]/M</t>
    </r>
    <phoneticPr fontId="3" type="noConversion"/>
  </si>
  <si>
    <r>
      <t>[Zn</t>
    </r>
    <r>
      <rPr>
        <vertAlign val="superscript"/>
        <sz val="10"/>
        <color theme="1"/>
        <rFont val="Arial"/>
        <family val="2"/>
      </rPr>
      <t>2+</t>
    </r>
    <r>
      <rPr>
        <sz val="10"/>
        <color theme="1"/>
        <rFont val="Arial"/>
        <family val="2"/>
      </rPr>
      <t>]/M</t>
    </r>
    <phoneticPr fontId="3" type="noConversion"/>
  </si>
  <si>
    <r>
      <t>[Mn</t>
    </r>
    <r>
      <rPr>
        <vertAlign val="superscript"/>
        <sz val="10"/>
        <color theme="1"/>
        <rFont val="Arial"/>
        <family val="2"/>
      </rPr>
      <t>2+</t>
    </r>
    <r>
      <rPr>
        <sz val="10"/>
        <color theme="1"/>
        <rFont val="Arial"/>
        <family val="2"/>
      </rPr>
      <t>]/M</t>
    </r>
    <phoneticPr fontId="3" type="noConversion"/>
  </si>
  <si>
    <r>
      <t>[Mg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>]/M</t>
    </r>
    <phoneticPr fontId="3" type="noConversion"/>
  </si>
  <si>
    <r>
      <t>[Na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]/M</t>
    </r>
    <phoneticPr fontId="3" type="noConversion"/>
  </si>
  <si>
    <r>
      <t>[K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]/M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</si>
  <si>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Cl-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</si>
  <si>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F-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</si>
  <si>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SO4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</si>
  <si>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H+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</si>
  <si>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Zn2+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</si>
  <si>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Mn2+</t>
    </r>
    <phoneticPr fontId="3" type="noConversion"/>
  </si>
  <si>
    <r>
      <t>η</t>
    </r>
    <r>
      <rPr>
        <vertAlign val="subscript"/>
        <sz val="10"/>
        <rFont val="Arial"/>
        <family val="2"/>
      </rPr>
      <t>Mg2+</t>
    </r>
    <phoneticPr fontId="3" type="noConversion"/>
  </si>
  <si>
    <r>
      <t>η</t>
    </r>
    <r>
      <rPr>
        <vertAlign val="subscript"/>
        <sz val="10"/>
        <rFont val="Arial"/>
        <family val="2"/>
      </rPr>
      <t>Na+</t>
    </r>
    <phoneticPr fontId="3" type="noConversion"/>
  </si>
  <si>
    <r>
      <t>η</t>
    </r>
    <r>
      <rPr>
        <vertAlign val="subscript"/>
        <sz val="10"/>
        <rFont val="Arial"/>
        <family val="2"/>
      </rPr>
      <t>K+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</si>
  <si>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Cl-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SO4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</si>
  <si>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F-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SO4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</si>
  <si>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H+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Zn2+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</si>
  <si>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H+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Mn2+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</si>
  <si>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H+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Mg2+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</si>
  <si>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H+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Na+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</si>
  <si>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H+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K+</t>
    </r>
    <phoneticPr fontId="3" type="noConversion"/>
  </si>
  <si>
    <t>Inlet 1 - Feed electrolyte</t>
    <phoneticPr fontId="3" type="noConversion"/>
  </si>
  <si>
    <t>Inlet 2 - Water</t>
    <phoneticPr fontId="3" type="noConversion"/>
  </si>
  <si>
    <t>Outlet 1 - Purified electrolyte</t>
    <phoneticPr fontId="3" type="noConversion"/>
  </si>
  <si>
    <r>
      <t>Outlet 2 - F</t>
    </r>
    <r>
      <rPr>
        <b/>
        <vertAlign val="superscript"/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/Cl</t>
    </r>
    <r>
      <rPr>
        <b/>
        <vertAlign val="superscript"/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 xml:space="preserve"> enriched stripping effluent</t>
    </r>
    <phoneticPr fontId="3" type="noConversion"/>
  </si>
  <si>
    <r>
      <rPr>
        <b/>
        <sz val="10"/>
        <color theme="1"/>
        <rFont val="Arial"/>
        <family val="2"/>
      </rPr>
      <t>Table S2.</t>
    </r>
    <r>
      <rPr>
        <sz val="10"/>
        <color theme="1"/>
        <rFont val="Arial"/>
        <family val="2"/>
      </rPr>
      <t xml:space="preserve"> Detailed procedure for the cost estimation.</t>
    </r>
    <phoneticPr fontId="4" type="noConversion"/>
  </si>
  <si>
    <t>-</t>
    <phoneticPr fontId="3" type="noConversion"/>
  </si>
  <si>
    <r>
      <rPr>
        <b/>
        <sz val="10"/>
        <color theme="1"/>
        <rFont val="Arial"/>
        <family val="2"/>
      </rPr>
      <t>Table S1.</t>
    </r>
    <r>
      <rPr>
        <sz val="10"/>
        <color theme="1"/>
        <rFont val="Arial"/>
        <family val="2"/>
      </rPr>
      <t xml:space="preserve"> Detailed process data of continous DD test in zinc electrolytes with different acidities.</t>
    </r>
    <phoneticPr fontId="4" type="noConversion"/>
  </si>
  <si>
    <r>
      <t xml:space="preserve">Free acidity
</t>
    </r>
    <r>
      <rPr>
        <sz val="9"/>
        <color theme="1"/>
        <rFont val="Arial"/>
        <family val="2"/>
      </rPr>
      <t>(g/L as H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SO</t>
    </r>
    <r>
      <rPr>
        <vertAlign val="subscript"/>
        <sz val="9"/>
        <color theme="1"/>
        <rFont val="Arial"/>
        <family val="2"/>
      </rPr>
      <t>4</t>
    </r>
    <r>
      <rPr>
        <sz val="9"/>
        <color theme="1"/>
        <rFont val="Arial"/>
        <family val="2"/>
      </rPr>
      <t>)</t>
    </r>
    <phoneticPr fontId="3" type="noConversion"/>
  </si>
  <si>
    <r>
      <t>Free 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SO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concentration in zinc electrolyte</t>
    </r>
    <phoneticPr fontId="4" type="noConversion"/>
  </si>
  <si>
    <r>
      <t>Cl</t>
    </r>
    <r>
      <rPr>
        <vertAlign val="superscript"/>
        <sz val="10"/>
        <color theme="1"/>
        <rFont val="Arial"/>
        <family val="2"/>
      </rPr>
      <t>-</t>
    </r>
    <r>
      <rPr>
        <sz val="10"/>
        <color theme="1"/>
        <rFont val="Arial"/>
        <family val="2"/>
      </rPr>
      <t xml:space="preserve"> removal ratio</t>
    </r>
    <phoneticPr fontId="7" type="noConversion"/>
  </si>
  <si>
    <r>
      <t>Total SO</t>
    </r>
    <r>
      <rPr>
        <vertAlign val="subscript"/>
        <sz val="10"/>
        <color theme="1"/>
        <rFont val="Arial"/>
        <family val="2"/>
      </rPr>
      <t>4</t>
    </r>
    <r>
      <rPr>
        <vertAlign val="superscript"/>
        <sz val="10"/>
        <color theme="1"/>
        <rFont val="Arial"/>
        <family val="2"/>
      </rPr>
      <t>2-</t>
    </r>
    <r>
      <rPr>
        <sz val="10"/>
        <color theme="1"/>
        <rFont val="Arial"/>
        <family val="2"/>
      </rPr>
      <t xml:space="preserve"> removal ratio</t>
    </r>
    <phoneticPr fontId="7" type="noConversion"/>
  </si>
  <si>
    <t>Effective membrane area needed in plant</t>
    <phoneticPr fontId="4" type="noConversion"/>
  </si>
  <si>
    <t>Inlet flow rate of zinc electrolyte</t>
    <phoneticPr fontId="4" type="noConversion"/>
  </si>
  <si>
    <r>
      <t xml:space="preserve">Outlet flow rate of </t>
    </r>
    <r>
      <rPr>
        <sz val="10"/>
        <color theme="1"/>
        <rFont val="Arial"/>
        <family val="2"/>
      </rPr>
      <t>stripping effluent</t>
    </r>
    <phoneticPr fontId="4" type="noConversion"/>
  </si>
  <si>
    <t>Inlet flow rate of water (stripping stream)</t>
    <phoneticPr fontId="4" type="noConversion"/>
  </si>
  <si>
    <t>Disposal price of stripping effluent</t>
    <phoneticPr fontId="4" type="noConversion"/>
  </si>
  <si>
    <t>Disposal cost of stripping effluent</t>
    <phoneticPr fontId="4" type="noConversion"/>
  </si>
  <si>
    <t>Price in zinc plant as byproduct</t>
    <phoneticPr fontId="4" type="noConversion"/>
  </si>
  <si>
    <t>-</t>
  </si>
  <si>
    <r>
      <t xml:space="preserve">Free acidity
</t>
    </r>
    <r>
      <rPr>
        <sz val="9"/>
        <color theme="1"/>
        <rFont val="Arial"/>
        <family val="2"/>
      </rPr>
      <t>(g/L as H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SO</t>
    </r>
    <r>
      <rPr>
        <vertAlign val="subscript"/>
        <sz val="9"/>
        <color theme="1"/>
        <rFont val="Arial"/>
        <family val="2"/>
      </rPr>
      <t>4</t>
    </r>
    <r>
      <rPr>
        <sz val="9"/>
        <color theme="1"/>
        <rFont val="Arial"/>
        <family val="2"/>
      </rPr>
      <t>)</t>
    </r>
    <phoneticPr fontId="3" type="noConversion"/>
  </si>
  <si>
    <t>pH</t>
    <phoneticPr fontId="3" type="noConversion"/>
  </si>
  <si>
    <r>
      <t>!! Update parameters</t>
    </r>
    <r>
      <rPr>
        <i/>
        <sz val="10"/>
        <color theme="1"/>
        <rFont val="Arial"/>
        <family val="2"/>
      </rPr>
      <t xml:space="preserve"> from experiment results for automatic cost analysis</t>
    </r>
    <phoneticPr fontId="7" type="noConversion"/>
  </si>
  <si>
    <r>
      <t>Volume expansion 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/day)</t>
    </r>
    <phoneticPr fontId="4" type="noConversion"/>
  </si>
  <si>
    <r>
      <t>H</t>
    </r>
    <r>
      <rPr>
        <sz val="10"/>
        <color theme="1"/>
        <rFont val="Arial Unicode MS"/>
        <family val="2"/>
        <charset val="134"/>
      </rPr>
      <t>₂</t>
    </r>
    <r>
      <rPr>
        <sz val="10"/>
        <color theme="1"/>
        <rFont val="Arial"/>
        <family val="2"/>
      </rPr>
      <t>SO</t>
    </r>
    <r>
      <rPr>
        <sz val="10"/>
        <color theme="1"/>
        <rFont val="Arial Unicode MS"/>
        <family val="2"/>
        <charset val="134"/>
      </rPr>
      <t>₄</t>
    </r>
    <r>
      <rPr>
        <sz val="10"/>
        <color theme="1"/>
        <rFont val="Arial"/>
        <family val="2"/>
      </rPr>
      <t xml:space="preserve"> makeup volume 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/day)</t>
    </r>
    <phoneticPr fontId="4" type="noConversion"/>
  </si>
  <si>
    <r>
      <t>Water osmosis volume 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/day)</t>
    </r>
    <phoneticPr fontId="4" type="noConversion"/>
  </si>
  <si>
    <t>$/day</t>
    <phoneticPr fontId="4" type="noConversion"/>
  </si>
  <si>
    <t>Capital cost ($/day)</t>
    <phoneticPr fontId="4" type="noConversion"/>
  </si>
  <si>
    <r>
      <t>H</t>
    </r>
    <r>
      <rPr>
        <sz val="10"/>
        <color theme="1"/>
        <rFont val="Arial Unicode MS"/>
        <family val="2"/>
        <charset val="134"/>
      </rPr>
      <t>₂</t>
    </r>
    <r>
      <rPr>
        <sz val="10"/>
        <color theme="1"/>
        <rFont val="Arial"/>
        <family val="2"/>
      </rPr>
      <t>SO</t>
    </r>
    <r>
      <rPr>
        <sz val="10"/>
        <color theme="1"/>
        <rFont val="Arial Unicode MS"/>
        <family val="2"/>
        <charset val="134"/>
      </rPr>
      <t>₄</t>
    </r>
    <r>
      <rPr>
        <sz val="10"/>
        <color theme="1"/>
        <rFont val="Arial"/>
        <family val="2"/>
      </rPr>
      <t xml:space="preserve"> makeup cost ($/day)</t>
    </r>
    <phoneticPr fontId="4" type="noConversion"/>
  </si>
  <si>
    <t>Effluent disposal cost ($/day)</t>
    <phoneticPr fontId="4" type="noConversion"/>
  </si>
  <si>
    <t>Total cost ($/day)</t>
    <phoneticPr fontId="4" type="noConversion"/>
  </si>
  <si>
    <t>Free acidity (g/L)</t>
    <phoneticPr fontId="4" type="noConversion"/>
  </si>
  <si>
    <r>
      <t>η</t>
    </r>
    <r>
      <rPr>
        <vertAlign val="subscript"/>
        <sz val="10"/>
        <color theme="1"/>
        <rFont val="Arial"/>
        <family val="2"/>
      </rPr>
      <t>H+</t>
    </r>
    <phoneticPr fontId="3" type="noConversion"/>
  </si>
  <si>
    <t>Errors</t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</si>
  <si>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SO4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</si>
  <si>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Cl-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SO4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</si>
  <si>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F-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SO4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</si>
  <si>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H+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Zn2+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</si>
  <si>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H+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Mn2+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</si>
  <si>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H+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Mg2+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</si>
  <si>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H+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Na+</t>
    </r>
    <phoneticPr fontId="3" type="noConversion"/>
  </si>
  <si>
    <r>
      <t>η</t>
    </r>
    <r>
      <rPr>
        <vertAlign val="subscript"/>
        <sz val="10"/>
        <color theme="1"/>
        <rFont val="Arial"/>
        <family val="2"/>
      </rPr>
      <t>H+</t>
    </r>
    <r>
      <rPr>
        <sz val="10"/>
        <color theme="1"/>
        <rFont val="Arial"/>
        <family val="2"/>
      </rPr>
      <t>/η</t>
    </r>
    <r>
      <rPr>
        <vertAlign val="subscript"/>
        <sz val="10"/>
        <color theme="1"/>
        <rFont val="Arial"/>
        <family val="2"/>
      </rPr>
      <t>K+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</si>
</sst>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.0_ "/>
    <numFmt numFmtId="178" formatCode="0.00_ "/>
    <numFmt numFmtId="179" formatCode="0.000_ "/>
    <numFmt numFmtId="180" formatCode="0.00_);[Red]\(0.00\)"/>
    <numFmt numFmtId="181" formatCode="0.000_);[Red]\(0.000\)"/>
    <numFmt numFmtId="182" formatCode="0.0_);[Red]\(0.0\)"/>
    <numFmt numFmtId="183" formatCode="0_ "/>
    <numFmt numFmtId="184" formatCode="0.000%"/>
  </numFmts>
  <fonts count="27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宋体"/>
      <family val="3"/>
      <charset val="134"/>
      <scheme val="minor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0"/>
      <color theme="1"/>
      <name val="Arial Unicode MS"/>
      <family val="2"/>
      <charset val="134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宋体"/>
      <family val="3"/>
      <charset val="134"/>
      <scheme val="minor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vertAlign val="subscript"/>
      <sz val="9"/>
      <color theme="1"/>
      <name val="Arial"/>
      <family val="2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1" fontId="5" fillId="3" borderId="0" xfId="0" applyNumberFormat="1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1" applyFont="1">
      <alignment vertical="center"/>
    </xf>
    <xf numFmtId="0" fontId="6" fillId="3" borderId="8" xfId="1" applyFont="1" applyFill="1" applyBorder="1">
      <alignment vertical="center"/>
    </xf>
    <xf numFmtId="0" fontId="5" fillId="3" borderId="7" xfId="1" applyFont="1" applyFill="1" applyBorder="1">
      <alignment vertical="center"/>
    </xf>
    <xf numFmtId="0" fontId="8" fillId="3" borderId="6" xfId="1" applyFont="1" applyFill="1" applyBorder="1">
      <alignment vertical="center"/>
    </xf>
    <xf numFmtId="0" fontId="5" fillId="0" borderId="5" xfId="1" applyFont="1" applyBorder="1">
      <alignment vertical="center"/>
    </xf>
    <xf numFmtId="183" fontId="6" fillId="0" borderId="0" xfId="1" applyNumberFormat="1" applyFont="1" applyBorder="1">
      <alignment vertical="center"/>
    </xf>
    <xf numFmtId="0" fontId="5" fillId="0" borderId="0" xfId="1" applyFont="1" applyBorder="1">
      <alignment vertical="center"/>
    </xf>
    <xf numFmtId="0" fontId="8" fillId="0" borderId="4" xfId="1" applyFont="1" applyBorder="1">
      <alignment vertical="center"/>
    </xf>
    <xf numFmtId="183" fontId="11" fillId="0" borderId="0" xfId="1" applyNumberFormat="1" applyFont="1" applyBorder="1">
      <alignment vertical="center"/>
    </xf>
    <xf numFmtId="0" fontId="6" fillId="3" borderId="5" xfId="1" applyFont="1" applyFill="1" applyBorder="1">
      <alignment vertical="center"/>
    </xf>
    <xf numFmtId="0" fontId="5" fillId="3" borderId="0" xfId="1" applyFont="1" applyFill="1" applyBorder="1">
      <alignment vertical="center"/>
    </xf>
    <xf numFmtId="0" fontId="8" fillId="3" borderId="4" xfId="1" applyFont="1" applyFill="1" applyBorder="1">
      <alignment vertical="center"/>
    </xf>
    <xf numFmtId="178" fontId="6" fillId="0" borderId="0" xfId="1" applyNumberFormat="1" applyFont="1" applyBorder="1">
      <alignment vertical="center"/>
    </xf>
    <xf numFmtId="178" fontId="11" fillId="0" borderId="0" xfId="1" applyNumberFormat="1" applyFont="1" applyBorder="1">
      <alignment vertical="center"/>
    </xf>
    <xf numFmtId="177" fontId="11" fillId="0" borderId="0" xfId="1" applyNumberFormat="1" applyFont="1" applyBorder="1">
      <alignment vertical="center"/>
    </xf>
    <xf numFmtId="179" fontId="11" fillId="0" borderId="0" xfId="1" applyNumberFormat="1" applyFont="1" applyBorder="1">
      <alignment vertical="center"/>
    </xf>
    <xf numFmtId="0" fontId="6" fillId="3" borderId="0" xfId="1" applyFont="1" applyFill="1" applyBorder="1">
      <alignment vertical="center"/>
    </xf>
    <xf numFmtId="0" fontId="14" fillId="3" borderId="4" xfId="1" applyFont="1" applyFill="1" applyBorder="1">
      <alignment vertical="center"/>
    </xf>
    <xf numFmtId="0" fontId="6" fillId="0" borderId="5" xfId="1" applyFont="1" applyBorder="1">
      <alignment vertical="center"/>
    </xf>
    <xf numFmtId="177" fontId="13" fillId="0" borderId="0" xfId="1" applyNumberFormat="1" applyFont="1" applyBorder="1">
      <alignment vertical="center"/>
    </xf>
    <xf numFmtId="177" fontId="6" fillId="0" borderId="0" xfId="1" applyNumberFormat="1" applyFont="1" applyBorder="1">
      <alignment vertical="center"/>
    </xf>
    <xf numFmtId="0" fontId="6" fillId="0" borderId="3" xfId="1" applyFont="1" applyBorder="1">
      <alignment vertical="center"/>
    </xf>
    <xf numFmtId="177" fontId="13" fillId="0" borderId="2" xfId="1" applyNumberFormat="1" applyFont="1" applyBorder="1">
      <alignment vertical="center"/>
    </xf>
    <xf numFmtId="0" fontId="5" fillId="0" borderId="2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0" xfId="1" applyFont="1">
      <alignment vertical="center"/>
    </xf>
    <xf numFmtId="0" fontId="12" fillId="0" borderId="4" xfId="1" applyFont="1" applyFill="1" applyBorder="1">
      <alignment vertical="center"/>
    </xf>
    <xf numFmtId="176" fontId="5" fillId="2" borderId="0" xfId="1" applyNumberFormat="1" applyFont="1" applyFill="1" applyBorder="1">
      <alignment vertical="center"/>
    </xf>
    <xf numFmtId="10" fontId="5" fillId="2" borderId="0" xfId="1" applyNumberFormat="1" applyFont="1" applyFill="1" applyBorder="1">
      <alignment vertical="center"/>
    </xf>
    <xf numFmtId="177" fontId="5" fillId="2" borderId="0" xfId="1" applyNumberFormat="1" applyFont="1" applyFill="1" applyBorder="1">
      <alignment vertical="center"/>
    </xf>
    <xf numFmtId="0" fontId="5" fillId="0" borderId="0" xfId="0" applyFont="1">
      <alignment vertical="center"/>
    </xf>
    <xf numFmtId="182" fontId="5" fillId="0" borderId="5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center" vertical="center"/>
    </xf>
    <xf numFmtId="182" fontId="5" fillId="0" borderId="3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center" vertical="center"/>
    </xf>
    <xf numFmtId="182" fontId="5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1" fontId="11" fillId="0" borderId="0" xfId="0" applyNumberFormat="1" applyFont="1" applyAlignment="1">
      <alignment horizontal="center" vertical="center"/>
    </xf>
    <xf numFmtId="11" fontId="18" fillId="0" borderId="0" xfId="0" applyNumberFormat="1" applyFont="1" applyAlignment="1">
      <alignment horizontal="center" vertical="center"/>
    </xf>
    <xf numFmtId="178" fontId="18" fillId="0" borderId="0" xfId="0" applyNumberFormat="1" applyFont="1" applyAlignment="1">
      <alignment horizontal="center" vertical="center"/>
    </xf>
    <xf numFmtId="0" fontId="19" fillId="0" borderId="0" xfId="0" applyFont="1">
      <alignment vertical="center"/>
    </xf>
    <xf numFmtId="17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8" fillId="0" borderId="0" xfId="0" applyNumberFormat="1" applyFont="1" applyBorder="1" applyAlignment="1">
      <alignment horizontal="center" vertical="center"/>
    </xf>
    <xf numFmtId="181" fontId="5" fillId="3" borderId="0" xfId="0" applyNumberFormat="1" applyFont="1" applyFill="1" applyBorder="1" applyAlignment="1">
      <alignment horizontal="center" vertical="center"/>
    </xf>
    <xf numFmtId="11" fontId="5" fillId="3" borderId="0" xfId="0" applyNumberFormat="1" applyFont="1" applyFill="1" applyBorder="1" applyAlignment="1">
      <alignment horizontal="center" vertical="center"/>
    </xf>
    <xf numFmtId="178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1" fontId="18" fillId="3" borderId="0" xfId="0" applyNumberFormat="1" applyFont="1" applyFill="1" applyBorder="1" applyAlignment="1">
      <alignment horizontal="center" vertical="center"/>
    </xf>
    <xf numFmtId="11" fontId="18" fillId="3" borderId="4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181" fontId="18" fillId="0" borderId="0" xfId="0" applyNumberFormat="1" applyFont="1" applyBorder="1" applyAlignment="1">
      <alignment horizontal="center" vertical="center"/>
    </xf>
    <xf numFmtId="11" fontId="18" fillId="0" borderId="0" xfId="0" applyNumberFormat="1" applyFont="1" applyBorder="1" applyAlignment="1">
      <alignment horizontal="center" vertical="center"/>
    </xf>
    <xf numFmtId="11" fontId="18" fillId="0" borderId="0" xfId="0" applyNumberFormat="1" applyFont="1" applyFill="1" applyBorder="1" applyAlignment="1">
      <alignment horizontal="center" vertical="center"/>
    </xf>
    <xf numFmtId="178" fontId="18" fillId="0" borderId="0" xfId="0" applyNumberFormat="1" applyFont="1" applyBorder="1" applyAlignment="1">
      <alignment horizontal="center" vertical="center"/>
    </xf>
    <xf numFmtId="11" fontId="18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79" fontId="5" fillId="0" borderId="0" xfId="0" applyNumberFormat="1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1" fontId="5" fillId="0" borderId="0" xfId="0" applyNumberFormat="1" applyFont="1" applyBorder="1" applyAlignment="1">
      <alignment horizontal="center" vertical="center"/>
    </xf>
    <xf numFmtId="181" fontId="11" fillId="0" borderId="0" xfId="0" applyNumberFormat="1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0" fontId="18" fillId="0" borderId="0" xfId="0" applyNumberFormat="1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11" fontId="5" fillId="3" borderId="4" xfId="0" applyNumberFormat="1" applyFont="1" applyFill="1" applyBorder="1" applyAlignment="1">
      <alignment horizontal="center" vertical="center"/>
    </xf>
    <xf numFmtId="182" fontId="18" fillId="0" borderId="0" xfId="0" applyNumberFormat="1" applyFont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Border="1" applyAlignment="1">
      <alignment horizontal="center" vertical="center"/>
    </xf>
    <xf numFmtId="182" fontId="18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81" fontId="5" fillId="0" borderId="2" xfId="0" applyNumberFormat="1" applyFont="1" applyBorder="1" applyAlignment="1">
      <alignment horizontal="center" vertical="center"/>
    </xf>
    <xf numFmtId="180" fontId="1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2" fontId="18" fillId="0" borderId="2" xfId="0" applyNumberFormat="1" applyFont="1" applyBorder="1" applyAlignment="1">
      <alignment horizontal="center" vertical="center"/>
    </xf>
    <xf numFmtId="182" fontId="18" fillId="0" borderId="1" xfId="0" applyNumberFormat="1" applyFont="1" applyBorder="1" applyAlignment="1">
      <alignment horizontal="center" vertical="center"/>
    </xf>
    <xf numFmtId="177" fontId="5" fillId="0" borderId="0" xfId="0" quotePrefix="1" applyNumberFormat="1" applyFont="1" applyBorder="1" applyAlignment="1">
      <alignment horizontal="center" vertical="center"/>
    </xf>
    <xf numFmtId="177" fontId="5" fillId="0" borderId="4" xfId="0" quotePrefix="1" applyNumberFormat="1" applyFont="1" applyBorder="1" applyAlignment="1">
      <alignment horizontal="center" vertical="center"/>
    </xf>
    <xf numFmtId="11" fontId="5" fillId="0" borderId="0" xfId="0" quotePrefix="1" applyNumberFormat="1" applyFont="1" applyBorder="1" applyAlignment="1">
      <alignment horizontal="center" vertical="center"/>
    </xf>
    <xf numFmtId="182" fontId="18" fillId="0" borderId="5" xfId="0" applyNumberFormat="1" applyFont="1" applyBorder="1" applyAlignment="1">
      <alignment horizontal="left" vertical="center"/>
    </xf>
    <xf numFmtId="178" fontId="6" fillId="0" borderId="0" xfId="1" applyNumberFormat="1" applyFont="1" applyFill="1" applyBorder="1">
      <alignment vertical="center"/>
    </xf>
    <xf numFmtId="0" fontId="5" fillId="0" borderId="0" xfId="1" applyFont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11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 wrapText="1"/>
    </xf>
    <xf numFmtId="11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18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</cellXfs>
  <cellStyles count="7">
    <cellStyle name="百分比 2" xfId="2"/>
    <cellStyle name="百分比 3" xfId="6"/>
    <cellStyle name="常规" xfId="0" builtinId="0"/>
    <cellStyle name="常规 2" xfId="1"/>
    <cellStyle name="常规 2 2" xfId="3"/>
    <cellStyle name="常规 2 3" xfId="4"/>
    <cellStyle name="常规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 = '1.0' encoding = 'UTF-8' standalone = 'yes'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theme" Target="theme/theme1.xml"/>
   <Relationship Id="rId4" Type="http://schemas.openxmlformats.org/officeDocument/2006/relationships/styles" Target="styles.xml"/>
   <Relationship Id="rId5" Type="http://schemas.openxmlformats.org/officeDocument/2006/relationships/sharedStrings" Target="sharedStrings.xml"/>
   <Relationship Id="rId6" Type="http://schemas.openxmlformats.org/officeDocument/2006/relationships/calcChain" Target="calcChain.xml"/>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 = '1.0' encoding = 'UTF-8' standalone = 'yes'?>
<Relationships xmlns="http://schemas.openxmlformats.org/package/2006/relationships">
   <Relationship Id="rId1" Type="http://schemas.openxmlformats.org/officeDocument/2006/relationships/printerSettings" Target="../printerSettings/printerSettings1.bin"/>
</Relationships>
</file>

<file path=xl/worksheets/_rels/sheet2.xml.rels><?xml version = '1.0' encoding = 'UTF-8' standalone = 'yes'?>
<Relationships xmlns="http://schemas.openxmlformats.org/package/2006/relationships">
   <Relationship Id="rId1" Type="http://schemas.openxmlformats.org/officeDocument/2006/relationships/printerSettings" Target="../printerSettings/printerSettings2.bin"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72"/>
  <sheetViews>
    <sheetView tabSelected="1" zoomScale="90" zoomScaleNormal="90" workbookViewId="0">
      <selection activeCell="Q47" sqref="Q47"/>
    </sheetView>
  </sheetViews>
  <sheetFormatPr defaultColWidth="9.1328125" defaultRowHeight="12.75" x14ac:dyDescent="0.3"/>
  <cols>
    <col min="1" max="1" customWidth="true" style="6" width="12.265625" collapsed="true"/>
    <col min="2" max="2" bestFit="true" customWidth="true" style="3" width="9.46484375" collapsed="true"/>
    <col min="3" max="4" customWidth="true" style="2" width="9.3984375" collapsed="true"/>
    <col min="5" max="5" bestFit="true" customWidth="true" style="1" width="9.59765625" collapsed="true"/>
    <col min="6" max="6" bestFit="true" customWidth="true" style="1" width="9.3984375" collapsed="true"/>
    <col min="7" max="7" bestFit="true" customWidth="true" style="1" width="9.46484375" collapsed="true"/>
    <col min="8" max="8" style="3" width="9.0" collapsed="true"/>
    <col min="9" max="9" style="49" width="9.0" collapsed="true"/>
    <col min="10" max="10" bestFit="true" customWidth="true" style="45" width="9.46484375" collapsed="true"/>
    <col min="11" max="11" style="45" width="9.0" collapsed="true"/>
    <col min="12" max="12" customWidth="true" style="1" width="4.59765625" collapsed="true"/>
    <col min="13" max="13" customWidth="true" style="1" width="8.3984375" collapsed="true"/>
    <col min="14" max="16384" style="1" width="9.1328125" collapsed="true"/>
  </cols>
  <sheetData>
    <row r="2" spans="1:15" ht="13.5" x14ac:dyDescent="0.3">
      <c r="A2" s="98" t="s">
        <v>99</v>
      </c>
      <c r="B2" s="98"/>
      <c r="C2" s="98"/>
      <c r="D2" s="98"/>
      <c r="E2" s="99"/>
      <c r="F2" s="99"/>
      <c r="G2" s="99"/>
      <c r="H2" s="99"/>
      <c r="I2" s="99"/>
      <c r="J2" s="99"/>
      <c r="K2" s="99"/>
    </row>
    <row r="3" spans="1:15" ht="12.75" customHeight="1" x14ac:dyDescent="0.3">
      <c r="A3" s="104" t="s">
        <v>100</v>
      </c>
      <c r="B3" s="105" t="s">
        <v>93</v>
      </c>
      <c r="C3" s="106"/>
      <c r="D3" s="106"/>
      <c r="E3" s="106"/>
      <c r="F3" s="106"/>
      <c r="G3" s="106"/>
      <c r="H3" s="106"/>
      <c r="I3" s="106"/>
      <c r="J3" s="106"/>
      <c r="K3" s="107"/>
    </row>
    <row r="4" spans="1:15" ht="15" x14ac:dyDescent="0.3">
      <c r="A4" s="100"/>
      <c r="B4" s="51" t="s">
        <v>0</v>
      </c>
      <c r="C4" s="52" t="s">
        <v>68</v>
      </c>
      <c r="D4" s="52" t="s">
        <v>69</v>
      </c>
      <c r="E4" s="53" t="s">
        <v>70</v>
      </c>
      <c r="F4" s="54" t="s">
        <v>71</v>
      </c>
      <c r="G4" s="54" t="s">
        <v>72</v>
      </c>
      <c r="H4" s="51" t="s">
        <v>73</v>
      </c>
      <c r="I4" s="55" t="s">
        <v>74</v>
      </c>
      <c r="J4" s="56" t="s">
        <v>75</v>
      </c>
      <c r="K4" s="57" t="s">
        <v>76</v>
      </c>
      <c r="M4" s="4" t="s">
        <v>113</v>
      </c>
    </row>
    <row r="5" spans="1:15" s="43" customFormat="1" x14ac:dyDescent="0.3">
      <c r="A5" s="58">
        <v>0</v>
      </c>
      <c r="B5" s="59">
        <f t="shared" ref="B5:B10" si="0">(C32*B32+C23*B23)/C5</f>
        <v>2.0017589306837</v>
      </c>
      <c r="C5" s="60">
        <v>1.3773216031280547E-2</v>
      </c>
      <c r="D5" s="61">
        <v>6.4876953732186261E-3</v>
      </c>
      <c r="E5" s="62">
        <v>3.5461923039010332</v>
      </c>
      <c r="F5" s="88" t="s">
        <v>111</v>
      </c>
      <c r="G5" s="62">
        <v>2.3296914958702972</v>
      </c>
      <c r="H5" s="59">
        <v>0.11002192209683291</v>
      </c>
      <c r="I5" s="62">
        <v>1.0221141328944661</v>
      </c>
      <c r="J5" s="60">
        <v>8.1611435624184436E-2</v>
      </c>
      <c r="K5" s="63">
        <v>1.5217771739130432E-2</v>
      </c>
      <c r="M5" s="2">
        <v>3.84</v>
      </c>
      <c r="O5" s="44"/>
    </row>
    <row r="6" spans="1:15" x14ac:dyDescent="0.3">
      <c r="A6" s="64">
        <v>2</v>
      </c>
      <c r="B6" s="59">
        <f t="shared" si="0"/>
        <v>1.9542043694464819</v>
      </c>
      <c r="C6" s="60">
        <v>1.3323558162267841E-2</v>
      </c>
      <c r="D6" s="60">
        <v>6.4130087801018707E-3</v>
      </c>
      <c r="E6" s="62">
        <v>3.534299516908213</v>
      </c>
      <c r="F6" s="60">
        <v>3.7233515121467532E-2</v>
      </c>
      <c r="G6" s="62">
        <v>2.6919816457632306</v>
      </c>
      <c r="H6" s="59">
        <v>0.1265029031670914</v>
      </c>
      <c r="I6" s="62">
        <v>1.1590323678255505</v>
      </c>
      <c r="J6" s="60">
        <v>9.2127933014354069E-2</v>
      </c>
      <c r="K6" s="63">
        <v>1.84400820971867E-2</v>
      </c>
      <c r="M6" s="2">
        <v>1.62</v>
      </c>
      <c r="O6" s="44"/>
    </row>
    <row r="7" spans="1:15" x14ac:dyDescent="0.3">
      <c r="A7" s="64">
        <v>4</v>
      </c>
      <c r="B7" s="59">
        <f t="shared" si="0"/>
        <v>1.9770887340017935</v>
      </c>
      <c r="C7" s="60">
        <v>1.3323558162267841E-2</v>
      </c>
      <c r="D7" s="60">
        <v>6.4588737740529818E-3</v>
      </c>
      <c r="E7" s="62">
        <v>3.5469055555555564</v>
      </c>
      <c r="F7" s="60">
        <v>7.4665344571145278E-2</v>
      </c>
      <c r="G7" s="62">
        <v>2.6461220556745184</v>
      </c>
      <c r="H7" s="59">
        <v>0.12530283363669459</v>
      </c>
      <c r="I7" s="62">
        <v>1.1462891256943015</v>
      </c>
      <c r="J7" s="60">
        <v>9.1432885602435843E-2</v>
      </c>
      <c r="K7" s="63">
        <v>1.8491418414322249E-2</v>
      </c>
      <c r="M7" s="2">
        <v>1.32</v>
      </c>
      <c r="O7" s="44"/>
    </row>
    <row r="8" spans="1:15" x14ac:dyDescent="0.3">
      <c r="A8" s="64">
        <v>8</v>
      </c>
      <c r="B8" s="59">
        <f t="shared" si="0"/>
        <v>1.9857679139153828</v>
      </c>
      <c r="C8" s="60">
        <v>1.3323558162267841E-2</v>
      </c>
      <c r="D8" s="60">
        <v>6.6545917531651748E-3</v>
      </c>
      <c r="E8" s="62">
        <v>3.5480212560386479</v>
      </c>
      <c r="F8" s="60">
        <v>0.14933068914229056</v>
      </c>
      <c r="G8" s="62">
        <v>2.6154914499847051</v>
      </c>
      <c r="H8" s="59">
        <v>0.12796041754641427</v>
      </c>
      <c r="I8" s="62">
        <v>1.1420023287389425</v>
      </c>
      <c r="J8" s="60">
        <v>9.596785341452807E-2</v>
      </c>
      <c r="K8" s="63">
        <v>1.8399596163682863E-2</v>
      </c>
      <c r="M8" s="2">
        <v>1.04</v>
      </c>
      <c r="O8" s="44"/>
    </row>
    <row r="9" spans="1:15" x14ac:dyDescent="0.3">
      <c r="A9" s="64">
        <v>16</v>
      </c>
      <c r="B9" s="59">
        <f t="shared" si="0"/>
        <v>1.9901800976800976</v>
      </c>
      <c r="C9" s="60">
        <v>1.3208825237081478E-2</v>
      </c>
      <c r="D9" s="60">
        <v>6.1359034943393358E-3</v>
      </c>
      <c r="E9" s="62">
        <v>3.5644833630700843</v>
      </c>
      <c r="F9" s="60">
        <v>0.28591885441527443</v>
      </c>
      <c r="G9" s="62">
        <v>2.3827864346895078</v>
      </c>
      <c r="H9" s="59">
        <v>0.1240591829814343</v>
      </c>
      <c r="I9" s="62">
        <v>1.1820396074881712</v>
      </c>
      <c r="J9" s="60">
        <v>9.075778599391042E-2</v>
      </c>
      <c r="K9" s="63">
        <v>1.6259818414322249E-2</v>
      </c>
      <c r="M9" s="2">
        <v>0.81</v>
      </c>
      <c r="O9" s="44"/>
    </row>
    <row r="10" spans="1:15" x14ac:dyDescent="0.3">
      <c r="A10" s="64">
        <v>160</v>
      </c>
      <c r="B10" s="59">
        <f t="shared" si="0"/>
        <v>1.954221710526316</v>
      </c>
      <c r="C10" s="60">
        <v>1.52E-2</v>
      </c>
      <c r="D10" s="60">
        <v>6.3200000000000001E-3</v>
      </c>
      <c r="E10" s="62">
        <v>3.82</v>
      </c>
      <c r="F10" s="60">
        <v>3.26</v>
      </c>
      <c r="G10" s="65">
        <v>0.88700000000000001</v>
      </c>
      <c r="H10" s="59">
        <v>0.121</v>
      </c>
      <c r="I10" s="62">
        <v>1.137</v>
      </c>
      <c r="J10" s="60">
        <v>9.35E-2</v>
      </c>
      <c r="K10" s="63">
        <v>1.6899999999999998E-2</v>
      </c>
      <c r="M10" s="46">
        <v>0.09</v>
      </c>
      <c r="N10" s="2"/>
      <c r="O10" s="44"/>
    </row>
    <row r="11" spans="1:15" x14ac:dyDescent="0.3">
      <c r="A11" s="64"/>
      <c r="B11" s="66"/>
      <c r="C11" s="67"/>
      <c r="D11" s="67"/>
      <c r="E11" s="68"/>
      <c r="F11" s="68"/>
      <c r="G11" s="68"/>
      <c r="H11" s="66"/>
      <c r="I11" s="69"/>
      <c r="J11" s="60"/>
      <c r="K11" s="63"/>
    </row>
    <row r="12" spans="1:15" ht="12.75" customHeight="1" x14ac:dyDescent="0.3">
      <c r="A12" s="100" t="s">
        <v>100</v>
      </c>
      <c r="B12" s="101" t="s">
        <v>94</v>
      </c>
      <c r="C12" s="102"/>
      <c r="D12" s="102"/>
      <c r="E12" s="102"/>
      <c r="F12" s="102"/>
      <c r="G12" s="102"/>
      <c r="H12" s="102"/>
      <c r="I12" s="102"/>
      <c r="J12" s="102"/>
      <c r="K12" s="103"/>
    </row>
    <row r="13" spans="1:15" ht="15" x14ac:dyDescent="0.3">
      <c r="A13" s="100"/>
      <c r="B13" s="51" t="s">
        <v>0</v>
      </c>
      <c r="C13" s="52" t="s">
        <v>68</v>
      </c>
      <c r="D13" s="52" t="s">
        <v>69</v>
      </c>
      <c r="E13" s="53" t="s">
        <v>70</v>
      </c>
      <c r="F13" s="54" t="s">
        <v>71</v>
      </c>
      <c r="G13" s="54" t="s">
        <v>72</v>
      </c>
      <c r="H13" s="51" t="s">
        <v>73</v>
      </c>
      <c r="I13" s="55" t="s">
        <v>74</v>
      </c>
      <c r="J13" s="56" t="s">
        <v>75</v>
      </c>
      <c r="K13" s="57" t="s">
        <v>76</v>
      </c>
    </row>
    <row r="14" spans="1:15" x14ac:dyDescent="0.3">
      <c r="A14" s="58">
        <v>0</v>
      </c>
      <c r="B14" s="59">
        <f t="shared" ref="B14:B19" si="1">B23+B32-B5</f>
        <v>1.9882410693163002</v>
      </c>
      <c r="C14" s="90"/>
      <c r="D14" s="70"/>
      <c r="E14" s="67"/>
      <c r="F14" s="70"/>
      <c r="G14" s="67"/>
      <c r="H14" s="66"/>
      <c r="I14" s="69"/>
      <c r="J14" s="60"/>
      <c r="K14" s="63"/>
    </row>
    <row r="15" spans="1:15" x14ac:dyDescent="0.3">
      <c r="A15" s="64">
        <v>2</v>
      </c>
      <c r="B15" s="59">
        <f t="shared" si="1"/>
        <v>2.0624622972201845</v>
      </c>
      <c r="C15" s="70"/>
      <c r="D15" s="70"/>
      <c r="E15" s="70"/>
      <c r="F15" s="70"/>
      <c r="G15" s="70"/>
      <c r="H15" s="70"/>
      <c r="I15" s="60"/>
      <c r="J15" s="60"/>
      <c r="K15" s="63"/>
      <c r="M15" s="3"/>
    </row>
    <row r="16" spans="1:15" x14ac:dyDescent="0.3">
      <c r="A16" s="64">
        <v>4</v>
      </c>
      <c r="B16" s="59">
        <f t="shared" si="1"/>
        <v>2.034577932664873</v>
      </c>
      <c r="C16" s="70"/>
      <c r="D16" s="70"/>
      <c r="E16" s="70"/>
      <c r="F16" s="70"/>
      <c r="G16" s="70"/>
      <c r="H16" s="70"/>
      <c r="I16" s="60"/>
      <c r="J16" s="60"/>
      <c r="K16" s="63"/>
      <c r="M16" s="3"/>
    </row>
    <row r="17" spans="1:14" x14ac:dyDescent="0.3">
      <c r="A17" s="64">
        <v>8</v>
      </c>
      <c r="B17" s="59">
        <f t="shared" si="1"/>
        <v>2.0125654194179505</v>
      </c>
      <c r="C17" s="70"/>
      <c r="D17" s="70"/>
      <c r="E17" s="70"/>
      <c r="F17" s="70"/>
      <c r="G17" s="70"/>
      <c r="H17" s="70"/>
      <c r="I17" s="60"/>
      <c r="J17" s="60"/>
      <c r="K17" s="63"/>
      <c r="M17" s="3"/>
    </row>
    <row r="18" spans="1:14" x14ac:dyDescent="0.3">
      <c r="A18" s="64">
        <v>16</v>
      </c>
      <c r="B18" s="59">
        <f t="shared" si="1"/>
        <v>1.9398199023199025</v>
      </c>
      <c r="C18" s="70"/>
      <c r="D18" s="70"/>
      <c r="E18" s="70"/>
      <c r="F18" s="70"/>
      <c r="G18" s="70"/>
      <c r="H18" s="70"/>
      <c r="I18" s="60"/>
      <c r="J18" s="60"/>
      <c r="K18" s="63"/>
      <c r="M18" s="3"/>
    </row>
    <row r="19" spans="1:14" x14ac:dyDescent="0.3">
      <c r="A19" s="64">
        <v>160</v>
      </c>
      <c r="B19" s="59">
        <f t="shared" si="1"/>
        <v>2.0567782894736841</v>
      </c>
      <c r="C19" s="70"/>
      <c r="D19" s="70"/>
      <c r="E19" s="70"/>
      <c r="F19" s="70"/>
      <c r="G19" s="70"/>
      <c r="H19" s="70"/>
      <c r="I19" s="60"/>
      <c r="J19" s="60"/>
      <c r="K19" s="63"/>
      <c r="M19" s="3"/>
    </row>
    <row r="20" spans="1:14" x14ac:dyDescent="0.3">
      <c r="A20" s="64"/>
      <c r="B20" s="66"/>
      <c r="C20" s="67"/>
      <c r="D20" s="67"/>
      <c r="E20" s="68"/>
      <c r="F20" s="68"/>
      <c r="G20" s="68"/>
      <c r="H20" s="66"/>
      <c r="I20" s="69"/>
      <c r="J20" s="60"/>
      <c r="K20" s="63"/>
    </row>
    <row r="21" spans="1:14" ht="13.5" customHeight="1" x14ac:dyDescent="0.3">
      <c r="A21" s="100" t="s">
        <v>100</v>
      </c>
      <c r="B21" s="101" t="s">
        <v>95</v>
      </c>
      <c r="C21" s="102"/>
      <c r="D21" s="102"/>
      <c r="E21" s="102"/>
      <c r="F21" s="102"/>
      <c r="G21" s="102"/>
      <c r="H21" s="102"/>
      <c r="I21" s="102"/>
      <c r="J21" s="102"/>
      <c r="K21" s="103"/>
    </row>
    <row r="22" spans="1:14" ht="15" x14ac:dyDescent="0.3">
      <c r="A22" s="100"/>
      <c r="B22" s="51" t="s">
        <v>0</v>
      </c>
      <c r="C22" s="52" t="s">
        <v>68</v>
      </c>
      <c r="D22" s="52" t="s">
        <v>69</v>
      </c>
      <c r="E22" s="53" t="s">
        <v>70</v>
      </c>
      <c r="F22" s="54" t="s">
        <v>71</v>
      </c>
      <c r="G22" s="54" t="s">
        <v>72</v>
      </c>
      <c r="H22" s="51" t="s">
        <v>73</v>
      </c>
      <c r="I22" s="55" t="s">
        <v>74</v>
      </c>
      <c r="J22" s="56" t="s">
        <v>75</v>
      </c>
      <c r="K22" s="57" t="s">
        <v>76</v>
      </c>
      <c r="M22" s="4" t="s">
        <v>54</v>
      </c>
    </row>
    <row r="23" spans="1:14" s="43" customFormat="1" x14ac:dyDescent="0.3">
      <c r="A23" s="58">
        <v>0</v>
      </c>
      <c r="B23" s="59">
        <v>2.3283333333333336</v>
      </c>
      <c r="C23" s="60">
        <v>6.3277940697295532E-3</v>
      </c>
      <c r="D23" s="61">
        <v>5.1745747298250879E-3</v>
      </c>
      <c r="E23" s="62">
        <v>3.0048505350331731</v>
      </c>
      <c r="F23" s="88" t="s">
        <v>111</v>
      </c>
      <c r="G23" s="62">
        <v>1.9232375395125931</v>
      </c>
      <c r="H23" s="60">
        <v>8.9630677526999158E-2</v>
      </c>
      <c r="I23" s="60">
        <v>0.84885025714873485</v>
      </c>
      <c r="J23" s="60">
        <v>6.7322563244889083E-2</v>
      </c>
      <c r="K23" s="63">
        <v>1.2610963529411762E-2</v>
      </c>
      <c r="M23" s="5">
        <f t="shared" ref="M23:M28" si="2">(B23-B5)/B5</f>
        <v>0.16314372207551095</v>
      </c>
    </row>
    <row r="24" spans="1:14" x14ac:dyDescent="0.3">
      <c r="A24" s="64">
        <v>2</v>
      </c>
      <c r="B24" s="66">
        <v>2.2416666666666667</v>
      </c>
      <c r="C24" s="60">
        <v>5.7608341479309213E-3</v>
      </c>
      <c r="D24" s="60">
        <v>5.0217146745931765E-3</v>
      </c>
      <c r="E24" s="62">
        <v>3.1177944939437712</v>
      </c>
      <c r="F24" s="60">
        <v>9.9619897537597101E-3</v>
      </c>
      <c r="G24" s="62">
        <v>2.0420699296420923</v>
      </c>
      <c r="H24" s="60">
        <v>9.6403863790802083E-2</v>
      </c>
      <c r="I24" s="60">
        <v>0.88104266748954263</v>
      </c>
      <c r="J24" s="60">
        <v>7.0372304335218225E-2</v>
      </c>
      <c r="K24" s="63">
        <v>1.3968661295822677E-2</v>
      </c>
      <c r="M24" s="5">
        <f t="shared" si="2"/>
        <v>0.14709940358060247</v>
      </c>
    </row>
    <row r="25" spans="1:14" x14ac:dyDescent="0.3">
      <c r="A25" s="64">
        <v>4</v>
      </c>
      <c r="B25" s="66">
        <v>2.2466666666666666</v>
      </c>
      <c r="C25" s="60">
        <v>5.759204952753341E-3</v>
      </c>
      <c r="D25" s="60">
        <v>5.1022214229697873E-3</v>
      </c>
      <c r="E25" s="62">
        <v>3.1023282355338448</v>
      </c>
      <c r="F25" s="60">
        <v>2.0423070566848459E-2</v>
      </c>
      <c r="G25" s="62">
        <v>2.0531870092790858</v>
      </c>
      <c r="H25" s="60">
        <v>9.7806610787525797E-2</v>
      </c>
      <c r="I25" s="60">
        <v>0.89092714119179861</v>
      </c>
      <c r="J25" s="60">
        <v>7.216397303175294E-2</v>
      </c>
      <c r="K25" s="63">
        <v>1.4578443222506392E-2</v>
      </c>
      <c r="M25" s="5">
        <f t="shared" si="2"/>
        <v>0.13635095280687007</v>
      </c>
    </row>
    <row r="26" spans="1:14" x14ac:dyDescent="0.3">
      <c r="A26" s="64">
        <v>8</v>
      </c>
      <c r="B26" s="66">
        <v>2.2333333333333334</v>
      </c>
      <c r="C26" s="60">
        <v>5.7771260997067459E-3</v>
      </c>
      <c r="D26" s="60">
        <v>4.7653133071068445E-3</v>
      </c>
      <c r="E26" s="62">
        <v>3.0899495990464398</v>
      </c>
      <c r="F26" s="60">
        <v>4.2687159147248389E-2</v>
      </c>
      <c r="G26" s="62">
        <v>2.0772454522280004</v>
      </c>
      <c r="H26" s="60">
        <v>9.9006528515956801E-2</v>
      </c>
      <c r="I26" s="60">
        <v>0.90838724816567229</v>
      </c>
      <c r="J26" s="60">
        <v>7.1906329853559534E-2</v>
      </c>
      <c r="K26" s="63">
        <v>1.4545009974424547E-2</v>
      </c>
      <c r="M26" s="5">
        <f t="shared" si="2"/>
        <v>0.12466986584037426</v>
      </c>
    </row>
    <row r="27" spans="1:14" s="43" customFormat="1" x14ac:dyDescent="0.3">
      <c r="A27" s="58">
        <v>16</v>
      </c>
      <c r="B27" s="59">
        <v>2.2250000000000001</v>
      </c>
      <c r="C27" s="60">
        <v>5.71576027353074E-3</v>
      </c>
      <c r="D27" s="60">
        <v>4.2373949398129942E-3</v>
      </c>
      <c r="E27" s="62">
        <v>3.0613528373302468</v>
      </c>
      <c r="F27" s="60">
        <v>9.2060461416069994E-2</v>
      </c>
      <c r="G27" s="62">
        <v>2.0279818251249107</v>
      </c>
      <c r="H27" s="60">
        <v>0.10396463497330422</v>
      </c>
      <c r="I27" s="60">
        <v>0.99898381125968572</v>
      </c>
      <c r="J27" s="60">
        <v>7.3506446280991747E-2</v>
      </c>
      <c r="K27" s="63">
        <v>1.3004485763000851E-2</v>
      </c>
      <c r="M27" s="48">
        <f t="shared" si="2"/>
        <v>0.1179892727264362</v>
      </c>
    </row>
    <row r="28" spans="1:14" x14ac:dyDescent="0.3">
      <c r="A28" s="64">
        <v>160</v>
      </c>
      <c r="B28" s="66">
        <v>2.1459999999999999</v>
      </c>
      <c r="C28" s="60">
        <v>6.2199999999999998E-3</v>
      </c>
      <c r="D28" s="60">
        <v>3.8600000000000001E-3</v>
      </c>
      <c r="E28" s="62">
        <v>2.7389999999999999</v>
      </c>
      <c r="F28" s="60">
        <v>1.5149999999999999</v>
      </c>
      <c r="G28" s="65">
        <v>0.82399999999999995</v>
      </c>
      <c r="H28" s="60">
        <v>0.112</v>
      </c>
      <c r="I28" s="60">
        <v>1.056</v>
      </c>
      <c r="J28" s="60">
        <v>8.3500000000000005E-2</v>
      </c>
      <c r="K28" s="63">
        <v>1.4999999999999999E-2</v>
      </c>
      <c r="M28" s="5">
        <f t="shared" si="2"/>
        <v>9.8135379645349297E-2</v>
      </c>
    </row>
    <row r="29" spans="1:14" x14ac:dyDescent="0.3">
      <c r="A29" s="64"/>
      <c r="B29" s="66"/>
      <c r="C29" s="67"/>
      <c r="D29" s="67"/>
      <c r="E29" s="68"/>
      <c r="F29" s="68"/>
      <c r="G29" s="68"/>
      <c r="H29" s="66"/>
      <c r="I29" s="69"/>
      <c r="J29" s="60"/>
      <c r="K29" s="63"/>
    </row>
    <row r="30" spans="1:14" ht="13.5" customHeight="1" x14ac:dyDescent="0.3">
      <c r="A30" s="100" t="s">
        <v>100</v>
      </c>
      <c r="B30" s="101" t="s">
        <v>96</v>
      </c>
      <c r="C30" s="102"/>
      <c r="D30" s="102"/>
      <c r="E30" s="102"/>
      <c r="F30" s="102"/>
      <c r="G30" s="102"/>
      <c r="H30" s="102"/>
      <c r="I30" s="102"/>
      <c r="J30" s="102"/>
      <c r="K30" s="103"/>
    </row>
    <row r="31" spans="1:14" ht="15" x14ac:dyDescent="0.3">
      <c r="A31" s="100"/>
      <c r="B31" s="51" t="s">
        <v>0</v>
      </c>
      <c r="C31" s="52" t="s">
        <v>68</v>
      </c>
      <c r="D31" s="52" t="s">
        <v>69</v>
      </c>
      <c r="E31" s="53" t="s">
        <v>70</v>
      </c>
      <c r="F31" s="54" t="s">
        <v>71</v>
      </c>
      <c r="G31" s="54" t="s">
        <v>72</v>
      </c>
      <c r="H31" s="51" t="s">
        <v>73</v>
      </c>
      <c r="I31" s="55" t="s">
        <v>74</v>
      </c>
      <c r="J31" s="56" t="s">
        <v>75</v>
      </c>
      <c r="K31" s="57" t="s">
        <v>76</v>
      </c>
      <c r="M31" s="4" t="s">
        <v>55</v>
      </c>
      <c r="N31" s="4" t="s">
        <v>53</v>
      </c>
    </row>
    <row r="32" spans="1:14" s="43" customFormat="1" x14ac:dyDescent="0.3">
      <c r="A32" s="58">
        <v>0</v>
      </c>
      <c r="B32" s="59">
        <v>1.6616666666666668</v>
      </c>
      <c r="C32" s="60">
        <v>7.7256435320951439E-3</v>
      </c>
      <c r="D32" s="61">
        <v>7.4796899490444673E-5</v>
      </c>
      <c r="E32" s="60">
        <v>4.6308846119092806E-2</v>
      </c>
      <c r="F32" s="88" t="s">
        <v>111</v>
      </c>
      <c r="G32" s="60">
        <v>3.4039164882226983E-2</v>
      </c>
      <c r="H32" s="60">
        <v>1.5668900194151195E-3</v>
      </c>
      <c r="I32" s="60">
        <v>1.1196252760063087E-2</v>
      </c>
      <c r="J32" s="60">
        <v>3.2822065245759024E-3</v>
      </c>
      <c r="K32" s="63">
        <v>5.4765425404944583E-4</v>
      </c>
      <c r="M32" s="5">
        <f t="shared" ref="M32:M37" si="3">(B14-B32)/B14</f>
        <v>0.16425292067924793</v>
      </c>
      <c r="N32" s="5">
        <f t="shared" ref="N32:N37" si="4">(M23+M32)/2</f>
        <v>0.16369832137737944</v>
      </c>
    </row>
    <row r="33" spans="1:21" x14ac:dyDescent="0.3">
      <c r="A33" s="64">
        <v>2</v>
      </c>
      <c r="B33" s="66">
        <v>1.7749999999999999</v>
      </c>
      <c r="C33" s="60">
        <v>7.3932877158683604E-3</v>
      </c>
      <c r="D33" s="60">
        <v>4.2754046745327397E-4</v>
      </c>
      <c r="E33" s="60">
        <v>6.0174591067039589E-2</v>
      </c>
      <c r="F33" s="60">
        <v>2.7645017352503725E-2</v>
      </c>
      <c r="G33" s="60">
        <v>3.7067851024778227E-2</v>
      </c>
      <c r="H33" s="60">
        <v>1.6774404137847351E-3</v>
      </c>
      <c r="I33" s="60">
        <v>1.1813601590893506E-2</v>
      </c>
      <c r="J33" s="60">
        <v>3.2715977961432509E-3</v>
      </c>
      <c r="K33" s="63">
        <v>5.3601591645353788E-4</v>
      </c>
      <c r="M33" s="5">
        <f t="shared" si="3"/>
        <v>0.13937820711080648</v>
      </c>
      <c r="N33" s="5">
        <f t="shared" si="4"/>
        <v>0.14323880534570449</v>
      </c>
    </row>
    <row r="34" spans="1:21" x14ac:dyDescent="0.3">
      <c r="A34" s="64">
        <v>4</v>
      </c>
      <c r="B34" s="66">
        <v>1.7649999999999999</v>
      </c>
      <c r="C34" s="60">
        <v>7.5936787227109809E-3</v>
      </c>
      <c r="D34" s="60">
        <v>7.2630105703902189E-4</v>
      </c>
      <c r="E34" s="60">
        <v>7.3735062293414713E-2</v>
      </c>
      <c r="F34" s="60">
        <v>5.4119980168567193E-2</v>
      </c>
      <c r="G34" s="60">
        <v>3.6024631895584788E-2</v>
      </c>
      <c r="H34" s="60">
        <v>1.6772225640092223E-3</v>
      </c>
      <c r="I34" s="60">
        <v>1.1812288280874992E-2</v>
      </c>
      <c r="J34" s="60">
        <v>3.4505075250108748E-3</v>
      </c>
      <c r="K34" s="63">
        <v>5.7387323955669222E-4</v>
      </c>
      <c r="M34" s="5">
        <f t="shared" si="3"/>
        <v>0.13249820925354389</v>
      </c>
      <c r="N34" s="5">
        <f t="shared" si="4"/>
        <v>0.13442458103020699</v>
      </c>
    </row>
    <row r="35" spans="1:21" x14ac:dyDescent="0.3">
      <c r="A35" s="64">
        <v>8</v>
      </c>
      <c r="B35" s="66">
        <v>1.7649999999999999</v>
      </c>
      <c r="C35" s="60">
        <v>7.6800260671228415E-3</v>
      </c>
      <c r="D35" s="60">
        <v>1.1122357995948023E-3</v>
      </c>
      <c r="E35" s="60">
        <v>9.7826537770059854E-2</v>
      </c>
      <c r="F35" s="60">
        <v>0.10470996529499259</v>
      </c>
      <c r="G35" s="60">
        <v>3.2203725910064242E-2</v>
      </c>
      <c r="H35" s="60">
        <v>1.5728473668244144E-3</v>
      </c>
      <c r="I35" s="60">
        <v>1.0986282795035315E-2</v>
      </c>
      <c r="J35" s="60">
        <v>3.4956254893431927E-3</v>
      </c>
      <c r="K35" s="63">
        <v>5.8926134697357205E-4</v>
      </c>
      <c r="M35" s="5">
        <f t="shared" si="3"/>
        <v>0.12300987437692756</v>
      </c>
      <c r="N35" s="5">
        <f t="shared" si="4"/>
        <v>0.12383987010865091</v>
      </c>
    </row>
    <row r="36" spans="1:21" s="43" customFormat="1" x14ac:dyDescent="0.3">
      <c r="A36" s="58">
        <v>16</v>
      </c>
      <c r="B36" s="59">
        <v>1.7050000000000001</v>
      </c>
      <c r="C36" s="60">
        <v>7.9591639249080703E-3</v>
      </c>
      <c r="D36" s="60">
        <v>1.5363982990641899E-3</v>
      </c>
      <c r="E36" s="60">
        <v>0.1507891789945188</v>
      </c>
      <c r="F36" s="60">
        <v>0.19484486873508353</v>
      </c>
      <c r="G36" s="60">
        <v>3.1489860813704494E-2</v>
      </c>
      <c r="H36" s="60">
        <v>1.6258459762771508E-3</v>
      </c>
      <c r="I36" s="60">
        <v>1.2317579103065213E-2</v>
      </c>
      <c r="J36" s="60">
        <v>3.7606941133826303E-3</v>
      </c>
      <c r="K36" s="63">
        <v>5.9009444160272801E-4</v>
      </c>
      <c r="M36" s="48">
        <f t="shared" si="3"/>
        <v>0.12105242452614938</v>
      </c>
      <c r="N36" s="48">
        <f t="shared" si="4"/>
        <v>0.11952084862629278</v>
      </c>
    </row>
    <row r="37" spans="1:21" x14ac:dyDescent="0.3">
      <c r="A37" s="64">
        <v>160</v>
      </c>
      <c r="B37" s="66">
        <v>1.865</v>
      </c>
      <c r="C37" s="60">
        <v>8.77E-3</v>
      </c>
      <c r="D37" s="60">
        <v>2.0999999999999999E-3</v>
      </c>
      <c r="E37" s="60">
        <v>0.86499999999999999</v>
      </c>
      <c r="F37" s="60">
        <v>1.718</v>
      </c>
      <c r="G37" s="70">
        <v>7.7499999999999999E-3</v>
      </c>
      <c r="H37" s="60">
        <v>1.2999999999999999E-3</v>
      </c>
      <c r="I37" s="60">
        <v>9.6100000000000005E-3</v>
      </c>
      <c r="J37" s="60">
        <v>4.4600000000000004E-3</v>
      </c>
      <c r="K37" s="63">
        <v>7.5000000000000002E-4</v>
      </c>
      <c r="M37" s="5">
        <f t="shared" si="3"/>
        <v>9.3242081781580319E-2</v>
      </c>
      <c r="N37" s="5">
        <f t="shared" si="4"/>
        <v>9.5688730713464815E-2</v>
      </c>
    </row>
    <row r="38" spans="1:21" x14ac:dyDescent="0.3">
      <c r="A38" s="64"/>
      <c r="B38" s="66"/>
      <c r="C38" s="67"/>
      <c r="D38" s="67"/>
      <c r="E38" s="68"/>
      <c r="F38" s="68"/>
      <c r="G38" s="68"/>
      <c r="H38" s="66"/>
      <c r="I38" s="69"/>
      <c r="J38" s="60"/>
      <c r="K38" s="63"/>
    </row>
    <row r="39" spans="1:21" ht="13.5" customHeight="1" x14ac:dyDescent="0.3">
      <c r="A39" s="100" t="s">
        <v>112</v>
      </c>
      <c r="B39" s="101" t="s">
        <v>38</v>
      </c>
      <c r="C39" s="102"/>
      <c r="D39" s="102"/>
      <c r="E39" s="102"/>
      <c r="F39" s="102"/>
      <c r="G39" s="102"/>
      <c r="H39" s="102"/>
      <c r="I39" s="102"/>
      <c r="J39" s="102"/>
      <c r="K39" s="103"/>
      <c r="M39" s="122" t="s">
        <v>125</v>
      </c>
    </row>
    <row r="40" spans="1:21" ht="15" x14ac:dyDescent="0.3">
      <c r="A40" s="100"/>
      <c r="B40" s="51"/>
      <c r="C40" s="52" t="s">
        <v>77</v>
      </c>
      <c r="D40" s="52" t="s">
        <v>78</v>
      </c>
      <c r="E40" s="53" t="s">
        <v>79</v>
      </c>
      <c r="F40" s="54" t="s">
        <v>80</v>
      </c>
      <c r="G40" s="54" t="s">
        <v>81</v>
      </c>
      <c r="H40" s="51" t="s">
        <v>82</v>
      </c>
      <c r="I40" s="55" t="s">
        <v>83</v>
      </c>
      <c r="J40" s="56" t="s">
        <v>84</v>
      </c>
      <c r="K40" s="57" t="s">
        <v>85</v>
      </c>
      <c r="M40" s="52" t="s">
        <v>77</v>
      </c>
      <c r="N40" s="52" t="s">
        <v>78</v>
      </c>
      <c r="O40" s="53" t="s">
        <v>126</v>
      </c>
      <c r="P40" s="54" t="s">
        <v>124</v>
      </c>
      <c r="Q40" s="54" t="s">
        <v>81</v>
      </c>
      <c r="R40" s="51" t="s">
        <v>82</v>
      </c>
      <c r="S40" s="55" t="s">
        <v>83</v>
      </c>
      <c r="T40" s="56" t="s">
        <v>84</v>
      </c>
      <c r="U40" s="56" t="s">
        <v>85</v>
      </c>
    </row>
    <row r="41" spans="1:21" s="43" customFormat="1" x14ac:dyDescent="0.3">
      <c r="A41" s="64">
        <v>0</v>
      </c>
      <c r="B41" s="71"/>
      <c r="C41" s="72">
        <f t="shared" ref="C41:C46" si="5">C32*B32/(C32*B32+C23*B23)</f>
        <v>0.46561979932087955</v>
      </c>
      <c r="D41" s="73">
        <f>D32*B32/(D32*B32+D23*B23)</f>
        <v>1.0210581849821666E-2</v>
      </c>
      <c r="E41" s="74">
        <f t="shared" ref="E41:E46" si="6">E32*B32/(E32*B32+E23*B23)</f>
        <v>1.0879007015558519E-2</v>
      </c>
      <c r="F41" s="88" t="s">
        <v>98</v>
      </c>
      <c r="G41" s="74">
        <f t="shared" ref="G41:G46" si="7">G32*B32/(G32*B32+G23*B23)</f>
        <v>1.2473646031756621E-2</v>
      </c>
      <c r="H41" s="74">
        <f t="shared" ref="H41:H46" si="8">H32*B32/(H32*B32+H23*B23)</f>
        <v>1.2322413704763471E-2</v>
      </c>
      <c r="I41" s="74">
        <f t="shared" ref="I41:I46" si="9">I32*B32/(I32*B32+I23*B23)</f>
        <v>9.3254834049323974E-3</v>
      </c>
      <c r="J41" s="74">
        <f t="shared" ref="J41:J46" si="10">J32*B32/(J32*B32+J23*B23)</f>
        <v>3.3624057787473759E-2</v>
      </c>
      <c r="K41" s="75">
        <f t="shared" ref="K41:K46" si="11">K32*B32/(K32*B32+K23*B23)</f>
        <v>3.0060862133781854E-2</v>
      </c>
      <c r="M41" s="124">
        <v>4.1438535314705996E-3</v>
      </c>
      <c r="N41" s="124">
        <v>5.965435865707698E-5</v>
      </c>
      <c r="O41" s="123">
        <v>1.2564490951499961E-4</v>
      </c>
      <c r="P41" s="124" t="s">
        <v>111</v>
      </c>
      <c r="Q41" s="123">
        <v>9.3289847065015726E-5</v>
      </c>
      <c r="R41" s="123">
        <v>2.1763199488780371E-4</v>
      </c>
      <c r="S41" s="123">
        <v>9.3761533713755129E-5</v>
      </c>
      <c r="T41" s="123">
        <v>4.4323116810663748E-4</v>
      </c>
      <c r="U41" s="123">
        <v>8.9623556571024319E-4</v>
      </c>
    </row>
    <row r="42" spans="1:21" x14ac:dyDescent="0.3">
      <c r="A42" s="64">
        <v>2</v>
      </c>
      <c r="B42" s="66"/>
      <c r="C42" s="72">
        <f t="shared" si="5"/>
        <v>0.50401767044986434</v>
      </c>
      <c r="D42" s="73">
        <f t="shared" ref="D42:D46" si="12">D33*B33/(D33*B33+D24*B24)</f>
        <v>6.3156705936613836E-2</v>
      </c>
      <c r="E42" s="74">
        <f t="shared" si="6"/>
        <v>1.5052412320604037E-2</v>
      </c>
      <c r="F42" s="72">
        <f>F33*B33/(F33*B33+F24*B24)</f>
        <v>0.68724043300577331</v>
      </c>
      <c r="G42" s="74">
        <f t="shared" si="7"/>
        <v>1.4169559407976928E-2</v>
      </c>
      <c r="H42" s="74">
        <f t="shared" si="8"/>
        <v>1.3590555451938829E-2</v>
      </c>
      <c r="I42" s="74">
        <f t="shared" si="9"/>
        <v>1.0505724044087618E-2</v>
      </c>
      <c r="J42" s="74">
        <f t="shared" si="10"/>
        <v>3.5504678432408836E-2</v>
      </c>
      <c r="K42" s="75">
        <f t="shared" si="11"/>
        <v>2.9488383128883223E-2</v>
      </c>
      <c r="M42" s="124">
        <v>4.9802983736628153E-3</v>
      </c>
      <c r="N42" s="124">
        <v>1.7683352873523669E-3</v>
      </c>
      <c r="O42" s="123">
        <v>1.2670684397492711E-4</v>
      </c>
      <c r="P42" s="124">
        <v>4.393199361759215E-3</v>
      </c>
      <c r="Q42" s="123">
        <v>2.3671351829676444E-4</v>
      </c>
      <c r="R42" s="123">
        <v>3.7490034238207025E-5</v>
      </c>
      <c r="S42" s="123">
        <v>2.0189048449743109E-4</v>
      </c>
      <c r="T42" s="123">
        <v>5.2891213873062734E-4</v>
      </c>
      <c r="U42" s="123">
        <v>9.1236197686192218E-4</v>
      </c>
    </row>
    <row r="43" spans="1:21" x14ac:dyDescent="0.3">
      <c r="A43" s="64">
        <v>4</v>
      </c>
      <c r="B43" s="66"/>
      <c r="C43" s="72">
        <f t="shared" si="5"/>
        <v>0.50880403299434018</v>
      </c>
      <c r="D43" s="73">
        <f t="shared" si="12"/>
        <v>0.10058298945632627</v>
      </c>
      <c r="E43" s="74">
        <f t="shared" si="6"/>
        <v>1.8329810569086225E-2</v>
      </c>
      <c r="F43" s="72">
        <f>F34*B34/(F34*B34+F25*B25)</f>
        <v>0.67551615431909129</v>
      </c>
      <c r="G43" s="74">
        <f t="shared" si="7"/>
        <v>1.3596641731542992E-2</v>
      </c>
      <c r="H43" s="74">
        <f t="shared" si="8"/>
        <v>1.32928115112223E-2</v>
      </c>
      <c r="I43" s="74">
        <f t="shared" si="9"/>
        <v>1.0308553583049392E-2</v>
      </c>
      <c r="J43" s="74">
        <f t="shared" si="10"/>
        <v>3.6203772990760247E-2</v>
      </c>
      <c r="K43" s="75">
        <f t="shared" si="11"/>
        <v>2.9997411776320329E-2</v>
      </c>
      <c r="M43" s="124">
        <v>6.4536479113483447E-3</v>
      </c>
      <c r="N43" s="124">
        <v>1.7283070959002275E-3</v>
      </c>
      <c r="O43" s="123">
        <v>1.0042105255056406E-4</v>
      </c>
      <c r="P43" s="124">
        <v>3.9130792604389758E-3</v>
      </c>
      <c r="Q43" s="123">
        <v>1.663439941013257E-4</v>
      </c>
      <c r="R43" s="123">
        <v>3.2138380640639452E-4</v>
      </c>
      <c r="S43" s="123">
        <v>8.3750928064207748E-5</v>
      </c>
      <c r="T43" s="123">
        <v>1.1660721367116995E-3</v>
      </c>
      <c r="U43" s="123">
        <v>8.585789614733529E-4</v>
      </c>
    </row>
    <row r="44" spans="1:21" x14ac:dyDescent="0.3">
      <c r="A44" s="64">
        <v>8</v>
      </c>
      <c r="B44" s="66"/>
      <c r="C44" s="72">
        <f t="shared" si="5"/>
        <v>0.51234050571411505</v>
      </c>
      <c r="D44" s="73">
        <f t="shared" si="12"/>
        <v>0.15573170915092316</v>
      </c>
      <c r="E44" s="74">
        <f t="shared" si="6"/>
        <v>2.4409781226120114E-2</v>
      </c>
      <c r="F44" s="72">
        <f>F35*B35/(F35*B35+F26*B26)</f>
        <v>0.65969865040402931</v>
      </c>
      <c r="G44" s="74">
        <f t="shared" si="7"/>
        <v>1.2103773638966218E-2</v>
      </c>
      <c r="H44" s="74">
        <f t="shared" si="8"/>
        <v>1.239924726026161E-2</v>
      </c>
      <c r="I44" s="74">
        <f t="shared" si="9"/>
        <v>9.4675933357178648E-3</v>
      </c>
      <c r="J44" s="74">
        <f t="shared" si="10"/>
        <v>3.6997825880363558E-2</v>
      </c>
      <c r="K44" s="75">
        <f t="shared" si="11"/>
        <v>3.1024022230927005E-2</v>
      </c>
      <c r="M44" s="124">
        <v>4.2128917790427503E-3</v>
      </c>
      <c r="N44" s="124">
        <v>4.0318925042780807E-3</v>
      </c>
      <c r="O44" s="123">
        <v>1.8965154719468604E-4</v>
      </c>
      <c r="P44" s="124">
        <v>5.9481782760043749E-4</v>
      </c>
      <c r="Q44" s="123">
        <v>6.7896570981314274E-5</v>
      </c>
      <c r="R44" s="123">
        <v>7.3165005846864207E-5</v>
      </c>
      <c r="S44" s="123">
        <v>9.0674364363249051E-5</v>
      </c>
      <c r="T44" s="123">
        <v>1.0215957384855255E-3</v>
      </c>
      <c r="U44" s="123">
        <v>7.1863556236950146E-4</v>
      </c>
    </row>
    <row r="45" spans="1:21" x14ac:dyDescent="0.3">
      <c r="A45" s="64">
        <v>16</v>
      </c>
      <c r="B45" s="66"/>
      <c r="C45" s="72">
        <f t="shared" si="5"/>
        <v>0.51622051495207699</v>
      </c>
      <c r="D45" s="73">
        <f t="shared" si="12"/>
        <v>0.21743116414877439</v>
      </c>
      <c r="E45" s="74">
        <f t="shared" si="6"/>
        <v>3.637146620599372E-2</v>
      </c>
      <c r="F45" s="72">
        <f>F36*B36/(F36*B36+F27*B27)</f>
        <v>0.61858966002711446</v>
      </c>
      <c r="G45" s="74">
        <f t="shared" si="7"/>
        <v>1.1758826826767422E-2</v>
      </c>
      <c r="H45" s="74">
        <f t="shared" si="8"/>
        <v>1.184171627204136E-2</v>
      </c>
      <c r="I45" s="74">
        <f t="shared" si="9"/>
        <v>9.3600275147875996E-3</v>
      </c>
      <c r="J45" s="74">
        <f t="shared" si="10"/>
        <v>3.7725577245912391E-2</v>
      </c>
      <c r="K45" s="75">
        <f t="shared" si="11"/>
        <v>3.3603017155173776E-2</v>
      </c>
      <c r="M45" s="124">
        <v>1.6336236500941613E-3</v>
      </c>
      <c r="N45" s="124">
        <v>2.400109387137063E-3</v>
      </c>
      <c r="O45" s="123">
        <v>5.8777754815583902E-4</v>
      </c>
      <c r="P45" s="124">
        <v>1.3251765137043368E-3</v>
      </c>
      <c r="Q45" s="123">
        <v>1.1372280429835793E-4</v>
      </c>
      <c r="R45" s="123">
        <v>8.4290377531981434E-5</v>
      </c>
      <c r="S45" s="123">
        <v>1.7359933112956447E-4</v>
      </c>
      <c r="T45" s="123">
        <v>2.6800666318245372E-4</v>
      </c>
      <c r="U45" s="123">
        <v>4.8546799961888577E-4</v>
      </c>
    </row>
    <row r="46" spans="1:21" x14ac:dyDescent="0.3">
      <c r="A46" s="64">
        <v>160</v>
      </c>
      <c r="B46" s="66"/>
      <c r="C46" s="72">
        <f t="shared" si="5"/>
        <v>0.55063144332933722</v>
      </c>
      <c r="D46" s="73">
        <f t="shared" si="12"/>
        <v>0.32102301136223915</v>
      </c>
      <c r="E46" s="72">
        <f t="shared" si="6"/>
        <v>0.21535167175958625</v>
      </c>
      <c r="F46" s="72">
        <f>F37*B37/(F37*B37+F28*B28)</f>
        <v>0.49635026319621522</v>
      </c>
      <c r="G46" s="76">
        <f t="shared" si="7"/>
        <v>8.1075233020302395E-3</v>
      </c>
      <c r="H46" s="74">
        <f t="shared" si="8"/>
        <v>9.9865514166321712E-3</v>
      </c>
      <c r="I46" s="74">
        <f t="shared" si="9"/>
        <v>7.8467057453932652E-3</v>
      </c>
      <c r="J46" s="74">
        <f t="shared" si="10"/>
        <v>4.4360027710684681E-2</v>
      </c>
      <c r="K46" s="75">
        <f t="shared" si="11"/>
        <v>4.1643407390867485E-2</v>
      </c>
      <c r="M46" s="124">
        <v>2E-3</v>
      </c>
      <c r="N46" s="124">
        <v>5.0000000000000001E-3</v>
      </c>
      <c r="O46" s="123">
        <v>5.0000000000000001E-4</v>
      </c>
      <c r="P46" s="124">
        <v>5.0000000000000001E-3</v>
      </c>
      <c r="Q46" s="123">
        <v>2.9999999999999997E-4</v>
      </c>
      <c r="R46" s="123">
        <v>2.9999999999999997E-4</v>
      </c>
      <c r="S46" s="123">
        <v>2.0000000000000001E-4</v>
      </c>
      <c r="T46" s="123">
        <v>1E-3</v>
      </c>
      <c r="U46" s="123">
        <v>1E-3</v>
      </c>
    </row>
    <row r="47" spans="1:21" x14ac:dyDescent="0.3">
      <c r="A47" s="64"/>
      <c r="B47" s="66"/>
      <c r="C47" s="67"/>
      <c r="D47" s="67"/>
      <c r="E47" s="68"/>
      <c r="F47" s="68"/>
      <c r="G47" s="68"/>
      <c r="H47" s="66"/>
      <c r="I47" s="69"/>
      <c r="J47" s="60"/>
      <c r="K47" s="63"/>
      <c r="U47" s="68"/>
    </row>
    <row r="48" spans="1:21" ht="13.15" customHeight="1" x14ac:dyDescent="0.3">
      <c r="A48" s="100" t="s">
        <v>100</v>
      </c>
      <c r="B48" s="101" t="s">
        <v>67</v>
      </c>
      <c r="C48" s="102"/>
      <c r="D48" s="102"/>
      <c r="E48" s="102"/>
      <c r="F48" s="102"/>
      <c r="G48" s="102"/>
      <c r="H48" s="102"/>
      <c r="I48" s="102"/>
      <c r="J48" s="102"/>
      <c r="K48" s="103"/>
      <c r="M48" s="122" t="s">
        <v>125</v>
      </c>
      <c r="U48" s="68"/>
    </row>
    <row r="49" spans="1:21" ht="15" x14ac:dyDescent="0.3">
      <c r="A49" s="100"/>
      <c r="B49" s="51"/>
      <c r="C49" s="52" t="s">
        <v>86</v>
      </c>
      <c r="D49" s="52" t="s">
        <v>87</v>
      </c>
      <c r="E49" s="53"/>
      <c r="F49" s="54"/>
      <c r="G49" s="52" t="s">
        <v>88</v>
      </c>
      <c r="H49" s="52" t="s">
        <v>89</v>
      </c>
      <c r="I49" s="52" t="s">
        <v>90</v>
      </c>
      <c r="J49" s="52" t="s">
        <v>91</v>
      </c>
      <c r="K49" s="77" t="s">
        <v>92</v>
      </c>
      <c r="M49" s="52" t="s">
        <v>127</v>
      </c>
      <c r="N49" s="52" t="s">
        <v>128</v>
      </c>
      <c r="O49" s="53"/>
      <c r="P49" s="54"/>
      <c r="Q49" s="52" t="s">
        <v>129</v>
      </c>
      <c r="R49" s="52" t="s">
        <v>130</v>
      </c>
      <c r="S49" s="52" t="s">
        <v>131</v>
      </c>
      <c r="T49" s="52" t="s">
        <v>132</v>
      </c>
      <c r="U49" s="52" t="s">
        <v>133</v>
      </c>
    </row>
    <row r="50" spans="1:21" x14ac:dyDescent="0.3">
      <c r="A50" s="64">
        <v>0</v>
      </c>
      <c r="B50" s="66"/>
      <c r="C50" s="78">
        <f t="shared" ref="C50:C55" si="13">C41/E41</f>
        <v>42.799843648871388</v>
      </c>
      <c r="D50" s="79">
        <f t="shared" ref="D50:D55" si="14">D41/E41</f>
        <v>0.93855825584256813</v>
      </c>
      <c r="E50" s="68"/>
      <c r="F50" s="39"/>
      <c r="G50" s="88" t="s">
        <v>98</v>
      </c>
      <c r="H50" s="88" t="s">
        <v>98</v>
      </c>
      <c r="I50" s="88" t="s">
        <v>98</v>
      </c>
      <c r="J50" s="88" t="s">
        <v>98</v>
      </c>
      <c r="K50" s="89" t="s">
        <v>98</v>
      </c>
      <c r="M50" s="2">
        <v>0.88047399637709012</v>
      </c>
      <c r="N50" s="2">
        <v>1.0042477307870857E-2</v>
      </c>
      <c r="O50" s="2"/>
      <c r="P50" s="2"/>
      <c r="Q50" s="2" t="s">
        <v>111</v>
      </c>
      <c r="R50" s="2" t="s">
        <v>111</v>
      </c>
      <c r="S50" s="2" t="s">
        <v>111</v>
      </c>
      <c r="T50" s="2" t="s">
        <v>111</v>
      </c>
      <c r="U50" s="2" t="s">
        <v>111</v>
      </c>
    </row>
    <row r="51" spans="1:21" x14ac:dyDescent="0.3">
      <c r="A51" s="64">
        <v>2</v>
      </c>
      <c r="B51" s="66"/>
      <c r="C51" s="78">
        <f t="shared" si="13"/>
        <v>33.48417912788338</v>
      </c>
      <c r="D51" s="80">
        <f t="shared" si="14"/>
        <v>4.1957863358661589</v>
      </c>
      <c r="E51" s="68"/>
      <c r="F51" s="39"/>
      <c r="G51" s="78">
        <f>F42/G42</f>
        <v>48.501185761561707</v>
      </c>
      <c r="H51" s="78">
        <f>F42/H42</f>
        <v>50.567501485579939</v>
      </c>
      <c r="I51" s="78">
        <f>F42/I42</f>
        <v>65.41580857461571</v>
      </c>
      <c r="J51" s="78">
        <f>F42/J42</f>
        <v>19.356334526845259</v>
      </c>
      <c r="K51" s="81">
        <f>F42/K42</f>
        <v>23.30546337525832</v>
      </c>
      <c r="M51" s="2">
        <v>9.8646605784489735E-2</v>
      </c>
      <c r="N51" s="2">
        <v>0.10267439568785422</v>
      </c>
      <c r="O51" s="2"/>
      <c r="P51" s="2"/>
      <c r="Q51" s="2">
        <v>0.59097297472774435</v>
      </c>
      <c r="R51" s="2">
        <v>0.43863991056033136</v>
      </c>
      <c r="S51" s="2">
        <v>1.0328512858002892</v>
      </c>
      <c r="T51" s="2">
        <v>0.18013047749699701</v>
      </c>
      <c r="U51" s="2">
        <v>0.56688911664611485</v>
      </c>
    </row>
    <row r="52" spans="1:21" x14ac:dyDescent="0.3">
      <c r="A52" s="64">
        <v>4</v>
      </c>
      <c r="B52" s="66"/>
      <c r="C52" s="78">
        <f t="shared" si="13"/>
        <v>27.758281029507934</v>
      </c>
      <c r="D52" s="80">
        <f t="shared" si="14"/>
        <v>5.4873992874734068</v>
      </c>
      <c r="E52" s="68"/>
      <c r="F52" s="39"/>
      <c r="G52" s="78">
        <f>F43/G43</f>
        <v>49.682573657284372</v>
      </c>
      <c r="H52" s="78">
        <f>F43/H43</f>
        <v>50.818154891370774</v>
      </c>
      <c r="I52" s="78">
        <f>F43/I43</f>
        <v>65.529673865192791</v>
      </c>
      <c r="J52" s="78">
        <f>F43/J43</f>
        <v>18.658722517442953</v>
      </c>
      <c r="K52" s="81">
        <f>F43/K43</f>
        <v>22.519147963703233</v>
      </c>
      <c r="M52" s="2">
        <v>0.43548364116311061</v>
      </c>
      <c r="N52" s="2">
        <v>0.11155426475345494</v>
      </c>
      <c r="O52" s="2"/>
      <c r="P52" s="2"/>
      <c r="Q52" s="2">
        <v>0.37285297464721123</v>
      </c>
      <c r="R52" s="2">
        <v>1.3224003358541199</v>
      </c>
      <c r="S52" s="2">
        <v>0.85260151295952802</v>
      </c>
      <c r="T52" s="2">
        <v>0.65120523689539189</v>
      </c>
      <c r="U52" s="2">
        <v>0.72824959440101922</v>
      </c>
    </row>
    <row r="53" spans="1:21" x14ac:dyDescent="0.3">
      <c r="A53" s="64">
        <v>8</v>
      </c>
      <c r="B53" s="66"/>
      <c r="C53" s="78">
        <f t="shared" si="13"/>
        <v>20.989147791536784</v>
      </c>
      <c r="D53" s="80">
        <f t="shared" si="14"/>
        <v>6.3798895905007011</v>
      </c>
      <c r="E53" s="68"/>
      <c r="F53" s="39"/>
      <c r="G53" s="78">
        <f>F44/G44</f>
        <v>54.50355154364685</v>
      </c>
      <c r="H53" s="78">
        <f>F44/H44</f>
        <v>53.204733848505448</v>
      </c>
      <c r="I53" s="78">
        <f>F44/I44</f>
        <v>69.679656382707179</v>
      </c>
      <c r="J53" s="78">
        <f>F44/J44</f>
        <v>17.830740988328227</v>
      </c>
      <c r="K53" s="81">
        <f>F44/K44</f>
        <v>21.264123829385142</v>
      </c>
      <c r="M53" s="2">
        <v>0.16353599395416296</v>
      </c>
      <c r="N53" s="2">
        <v>0.16118320160020164</v>
      </c>
      <c r="O53" s="2"/>
      <c r="P53" s="2"/>
      <c r="Q53" s="2">
        <v>0.26590473910272699</v>
      </c>
      <c r="R53" s="2">
        <v>0.36072022897203548</v>
      </c>
      <c r="S53" s="2">
        <v>0.62626741129768781</v>
      </c>
      <c r="T53" s="2">
        <v>0.50419609322886161</v>
      </c>
      <c r="U53" s="2">
        <v>0.4769772299926614</v>
      </c>
    </row>
    <row r="54" spans="1:21" x14ac:dyDescent="0.3">
      <c r="A54" s="64">
        <v>16</v>
      </c>
      <c r="B54" s="66"/>
      <c r="C54" s="78">
        <f t="shared" si="13"/>
        <v>14.193008113239275</v>
      </c>
      <c r="D54" s="80">
        <f t="shared" si="14"/>
        <v>5.9780698121249651</v>
      </c>
      <c r="E54" s="68"/>
      <c r="F54" s="39"/>
      <c r="G54" s="78">
        <f>F45/G45</f>
        <v>52.606409562812551</v>
      </c>
      <c r="H54" s="78">
        <f>F45/H45</f>
        <v>52.238176106923184</v>
      </c>
      <c r="I54" s="78">
        <f>F45/I45</f>
        <v>66.088444617264742</v>
      </c>
      <c r="J54" s="78">
        <f>F45/J45</f>
        <v>16.397089327351228</v>
      </c>
      <c r="K54" s="81">
        <f>F45/K45</f>
        <v>18.408753510750497</v>
      </c>
      <c r="M54" s="2">
        <v>0.27051737812356297</v>
      </c>
      <c r="N54" s="2">
        <v>0.12222539065727726</v>
      </c>
      <c r="O54" s="2"/>
      <c r="P54" s="2"/>
      <c r="Q54" s="2">
        <v>0.61945722412193693</v>
      </c>
      <c r="R54" s="2">
        <v>0.48083715872723748</v>
      </c>
      <c r="S54" s="2">
        <v>1.2773509073504752</v>
      </c>
      <c r="T54" s="2">
        <v>0.13261962467841568</v>
      </c>
      <c r="U54" s="2">
        <v>0.23916513151442442</v>
      </c>
    </row>
    <row r="55" spans="1:21" x14ac:dyDescent="0.3">
      <c r="A55" s="82">
        <v>160</v>
      </c>
      <c r="B55" s="83"/>
      <c r="C55" s="84">
        <f t="shared" si="13"/>
        <v>2.5568942132199917</v>
      </c>
      <c r="D55" s="84">
        <f t="shared" si="14"/>
        <v>1.4906919864574908</v>
      </c>
      <c r="E55" s="85"/>
      <c r="F55" s="41"/>
      <c r="G55" s="86">
        <f>F46/G46</f>
        <v>61.22094808804583</v>
      </c>
      <c r="H55" s="86">
        <f>F46/H46</f>
        <v>49.701868291547093</v>
      </c>
      <c r="I55" s="86">
        <f>F46/I46</f>
        <v>63.255878237516207</v>
      </c>
      <c r="J55" s="86">
        <f>F46/J46</f>
        <v>11.189133298865432</v>
      </c>
      <c r="K55" s="87">
        <f>F46/K46</f>
        <v>11.919059805491955</v>
      </c>
      <c r="M55" s="2">
        <v>0.1</v>
      </c>
      <c r="N55" s="2">
        <v>0.05</v>
      </c>
      <c r="O55" s="2"/>
      <c r="P55" s="2"/>
      <c r="Q55" s="2">
        <v>0.8</v>
      </c>
      <c r="R55" s="2">
        <v>0.8</v>
      </c>
      <c r="S55" s="2">
        <v>1.1000000000000001</v>
      </c>
      <c r="T55" s="2">
        <v>0.7</v>
      </c>
      <c r="U55" s="2">
        <v>0.8</v>
      </c>
    </row>
    <row r="65" spans="9:16" x14ac:dyDescent="0.3">
      <c r="P65" s="47"/>
    </row>
    <row r="72" spans="9:16" x14ac:dyDescent="0.3">
      <c r="I72" s="1"/>
    </row>
  </sheetData>
  <mergeCells count="13">
    <mergeCell ref="A2:K2"/>
    <mergeCell ref="A48:A49"/>
    <mergeCell ref="B48:K48"/>
    <mergeCell ref="A39:A40"/>
    <mergeCell ref="B39:K39"/>
    <mergeCell ref="A3:A4"/>
    <mergeCell ref="B3:K3"/>
    <mergeCell ref="A21:A22"/>
    <mergeCell ref="B21:K21"/>
    <mergeCell ref="A30:A31"/>
    <mergeCell ref="B30:K30"/>
    <mergeCell ref="A12:A13"/>
    <mergeCell ref="B12:K12"/>
  </mergeCells>
  <phoneticPr fontId="3" type="noConversion"/>
  <printOptions horizontalCentered="1"/>
  <pageMargins left="0.7" right="0.7" top="0.75" bottom="0.75" header="0.3" footer="0.3"/>
  <pageSetup paperSize="9" scale="6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0"/>
  <sheetViews>
    <sheetView topLeftCell="A17" zoomScale="90" zoomScaleNormal="90" workbookViewId="0">
      <selection activeCell="M15" sqref="M15"/>
    </sheetView>
  </sheetViews>
  <sheetFormatPr defaultColWidth="9" defaultRowHeight="12.75" x14ac:dyDescent="0.3"/>
  <cols>
    <col min="1" max="1" customWidth="true" style="7" width="4.59765625" collapsed="true"/>
    <col min="2" max="2" customWidth="true" style="7" width="41.73046875" collapsed="true"/>
    <col min="3" max="3" customWidth="true" style="7" width="10.73046875" collapsed="true"/>
    <col min="4" max="4" style="7" width="9.0" collapsed="true"/>
    <col min="5" max="5" customWidth="true" style="32" width="30.86328125" collapsed="true"/>
    <col min="6" max="6" customWidth="true" style="7" width="3.59765625" collapsed="true"/>
    <col min="7" max="7" customWidth="true" style="7" width="8.59765625" collapsed="true"/>
    <col min="8" max="8" style="7" width="9.0" collapsed="true"/>
    <col min="9" max="9" customWidth="true" style="7" width="11.265625" collapsed="true"/>
    <col min="10" max="10" customWidth="true" style="7" width="11.3984375" collapsed="true"/>
    <col min="11" max="11" customWidth="true" style="7" width="9.73046875" collapsed="true"/>
    <col min="12" max="12" customWidth="true" style="7" width="10.46484375" collapsed="true"/>
    <col min="13" max="13" customWidth="true" style="93" width="12.3984375" collapsed="true"/>
    <col min="14" max="14" customWidth="true" style="93" width="12.59765625" collapsed="true"/>
    <col min="15" max="16384" style="7" width="9.0" collapsed="true"/>
  </cols>
  <sheetData>
    <row r="2" spans="2:14" x14ac:dyDescent="0.3">
      <c r="B2" s="120" t="s">
        <v>97</v>
      </c>
      <c r="C2" s="121"/>
      <c r="D2" s="121"/>
      <c r="E2" s="121"/>
      <c r="G2" s="37" t="s">
        <v>64</v>
      </c>
      <c r="H2" s="37"/>
      <c r="I2" s="37"/>
      <c r="J2" s="37"/>
      <c r="K2" s="37"/>
      <c r="L2" s="37"/>
    </row>
    <row r="3" spans="2:14" ht="12.75" customHeight="1" x14ac:dyDescent="0.3">
      <c r="B3" s="8" t="s">
        <v>37</v>
      </c>
      <c r="C3" s="9"/>
      <c r="D3" s="9"/>
      <c r="E3" s="10"/>
      <c r="G3" s="110" t="s">
        <v>123</v>
      </c>
      <c r="H3" s="113" t="s">
        <v>119</v>
      </c>
      <c r="I3" s="113" t="s">
        <v>120</v>
      </c>
      <c r="J3" s="113" t="s">
        <v>121</v>
      </c>
      <c r="K3" s="113" t="s">
        <v>122</v>
      </c>
      <c r="L3" s="113" t="s">
        <v>115</v>
      </c>
      <c r="M3" s="113" t="s">
        <v>116</v>
      </c>
      <c r="N3" s="117" t="s">
        <v>117</v>
      </c>
    </row>
    <row r="4" spans="2:14" ht="14.25" customHeight="1" x14ac:dyDescent="0.3">
      <c r="B4" s="11" t="s">
        <v>39</v>
      </c>
      <c r="C4" s="12">
        <v>540</v>
      </c>
      <c r="D4" s="13" t="s">
        <v>30</v>
      </c>
      <c r="E4" s="14"/>
      <c r="G4" s="111"/>
      <c r="H4" s="114"/>
      <c r="I4" s="114"/>
      <c r="J4" s="114"/>
      <c r="K4" s="114"/>
      <c r="L4" s="114"/>
      <c r="M4" s="114"/>
      <c r="N4" s="118"/>
    </row>
    <row r="5" spans="2:14" ht="15" x14ac:dyDescent="0.3">
      <c r="B5" s="11" t="s">
        <v>40</v>
      </c>
      <c r="C5" s="19">
        <v>3.6</v>
      </c>
      <c r="D5" s="13" t="s">
        <v>63</v>
      </c>
      <c r="E5" s="14"/>
      <c r="G5" s="112"/>
      <c r="H5" s="115"/>
      <c r="I5" s="115"/>
      <c r="J5" s="115"/>
      <c r="K5" s="115"/>
      <c r="L5" s="115"/>
      <c r="M5" s="116"/>
      <c r="N5" s="119"/>
    </row>
    <row r="6" spans="2:14" ht="14.25" x14ac:dyDescent="0.3">
      <c r="B6" s="11" t="s">
        <v>36</v>
      </c>
      <c r="C6" s="12">
        <v>4000</v>
      </c>
      <c r="D6" s="13" t="s">
        <v>41</v>
      </c>
      <c r="E6" s="14"/>
      <c r="G6" s="91">
        <v>0</v>
      </c>
      <c r="H6" s="39">
        <v>251.5</v>
      </c>
      <c r="I6" s="39">
        <v>13.5</v>
      </c>
      <c r="J6" s="39">
        <v>179.4</v>
      </c>
      <c r="K6" s="39">
        <v>444.3</v>
      </c>
      <c r="L6" s="39">
        <v>35.700000000000003</v>
      </c>
      <c r="M6" s="94">
        <f>I6/$C$47/1.84</f>
        <v>0.45855978260869562</v>
      </c>
      <c r="N6" s="95">
        <f t="shared" ref="N6:N11" si="0">L6-M6</f>
        <v>35.241440217391307</v>
      </c>
    </row>
    <row r="7" spans="2:14" ht="14.25" x14ac:dyDescent="0.3">
      <c r="B7" s="11" t="s">
        <v>42</v>
      </c>
      <c r="C7" s="12">
        <v>100</v>
      </c>
      <c r="D7" s="13" t="s">
        <v>41</v>
      </c>
      <c r="E7" s="14"/>
      <c r="G7" s="38">
        <v>2</v>
      </c>
      <c r="H7" s="50">
        <v>232.5</v>
      </c>
      <c r="I7" s="50">
        <v>17.3</v>
      </c>
      <c r="J7" s="50">
        <v>170</v>
      </c>
      <c r="K7" s="50">
        <v>419.8</v>
      </c>
      <c r="L7" s="50">
        <v>29</v>
      </c>
      <c r="M7" s="94">
        <f>I7/$C$47/1.84</f>
        <v>0.58763586956521741</v>
      </c>
      <c r="N7" s="95">
        <f t="shared" si="0"/>
        <v>28.412364130434781</v>
      </c>
    </row>
    <row r="8" spans="2:14" x14ac:dyDescent="0.3">
      <c r="B8" s="11" t="s">
        <v>35</v>
      </c>
      <c r="C8" s="15">
        <f>C4*C7</f>
        <v>54000</v>
      </c>
      <c r="D8" s="13" t="s">
        <v>34</v>
      </c>
      <c r="E8" s="14"/>
      <c r="G8" s="38">
        <v>4</v>
      </c>
      <c r="H8" s="39">
        <v>230.2</v>
      </c>
      <c r="I8" s="39">
        <v>20.7</v>
      </c>
      <c r="J8" s="39">
        <v>170.1</v>
      </c>
      <c r="K8" s="39">
        <v>421.1</v>
      </c>
      <c r="L8" s="39">
        <v>27</v>
      </c>
      <c r="M8" s="94">
        <f t="shared" ref="M8:M11" si="1">I8/$C$47/1.84</f>
        <v>0.703125</v>
      </c>
      <c r="N8" s="95">
        <f t="shared" si="0"/>
        <v>26.296875</v>
      </c>
    </row>
    <row r="9" spans="2:14" x14ac:dyDescent="0.3">
      <c r="B9" s="11"/>
      <c r="C9" s="15">
        <f>C8/24</f>
        <v>2250</v>
      </c>
      <c r="D9" s="13" t="s">
        <v>33</v>
      </c>
      <c r="E9" s="14"/>
      <c r="G9" s="38">
        <v>8</v>
      </c>
      <c r="H9" s="39">
        <v>228.9</v>
      </c>
      <c r="I9" s="39">
        <v>27.5</v>
      </c>
      <c r="J9" s="39">
        <v>171.1</v>
      </c>
      <c r="K9" s="39">
        <v>427.4</v>
      </c>
      <c r="L9" s="39">
        <v>25.2</v>
      </c>
      <c r="M9" s="94">
        <f t="shared" si="1"/>
        <v>0.93410326086956519</v>
      </c>
      <c r="N9" s="95">
        <f t="shared" si="0"/>
        <v>24.265896739130433</v>
      </c>
    </row>
    <row r="10" spans="2:14" x14ac:dyDescent="0.3">
      <c r="B10" s="11"/>
      <c r="C10" s="13"/>
      <c r="D10" s="13"/>
      <c r="E10" s="14"/>
      <c r="G10" s="38">
        <v>16</v>
      </c>
      <c r="H10" s="39">
        <v>227.1</v>
      </c>
      <c r="I10" s="39">
        <v>40.6</v>
      </c>
      <c r="J10" s="39">
        <v>170.5</v>
      </c>
      <c r="K10" s="39">
        <v>438.3</v>
      </c>
      <c r="L10" s="39">
        <v>24.6</v>
      </c>
      <c r="M10" s="94">
        <f t="shared" si="1"/>
        <v>1.3790760869565217</v>
      </c>
      <c r="N10" s="95">
        <f t="shared" si="0"/>
        <v>23.220923913043478</v>
      </c>
    </row>
    <row r="11" spans="2:14" ht="13.15" x14ac:dyDescent="0.3">
      <c r="B11" s="16" t="s">
        <v>57</v>
      </c>
      <c r="C11" s="17"/>
      <c r="D11" s="17"/>
      <c r="E11" s="18"/>
      <c r="G11" s="40">
        <v>160</v>
      </c>
      <c r="H11" s="41">
        <v>212.7</v>
      </c>
      <c r="I11" s="41">
        <v>224.8</v>
      </c>
      <c r="J11" s="41">
        <v>164.1</v>
      </c>
      <c r="K11" s="41">
        <v>601.5</v>
      </c>
      <c r="L11" s="41">
        <v>25.1</v>
      </c>
      <c r="M11" s="96">
        <f t="shared" si="1"/>
        <v>7.6358695652173916</v>
      </c>
      <c r="N11" s="97">
        <f t="shared" si="0"/>
        <v>17.464130434782611</v>
      </c>
    </row>
    <row r="12" spans="2:14" ht="14.25" x14ac:dyDescent="0.3">
      <c r="B12" s="11" t="s">
        <v>32</v>
      </c>
      <c r="C12" s="92">
        <v>4</v>
      </c>
      <c r="D12" s="13" t="s">
        <v>43</v>
      </c>
      <c r="E12" s="33"/>
      <c r="G12" s="42"/>
      <c r="H12" s="39"/>
      <c r="I12" s="39"/>
      <c r="J12" s="39"/>
      <c r="K12" s="39"/>
      <c r="L12" s="39"/>
    </row>
    <row r="13" spans="2:14" ht="14.25" x14ac:dyDescent="0.3">
      <c r="B13" s="11" t="s">
        <v>31</v>
      </c>
      <c r="C13" s="19">
        <v>0.5</v>
      </c>
      <c r="D13" s="13" t="s">
        <v>44</v>
      </c>
      <c r="E13" s="14"/>
    </row>
    <row r="14" spans="2:14" x14ac:dyDescent="0.3">
      <c r="B14" s="11"/>
      <c r="C14" s="20"/>
      <c r="D14" s="13"/>
      <c r="E14" s="14"/>
    </row>
    <row r="15" spans="2:14" ht="13.15" x14ac:dyDescent="0.3">
      <c r="B15" s="16" t="s">
        <v>56</v>
      </c>
      <c r="C15" s="17"/>
      <c r="D15" s="17"/>
      <c r="E15" s="18"/>
    </row>
    <row r="16" spans="2:14" ht="15" x14ac:dyDescent="0.3">
      <c r="B16" s="11" t="s">
        <v>101</v>
      </c>
      <c r="C16" s="36">
        <v>2</v>
      </c>
      <c r="D16" s="13" t="s">
        <v>58</v>
      </c>
      <c r="E16" s="108" t="s">
        <v>114</v>
      </c>
    </row>
    <row r="17" spans="2:5" x14ac:dyDescent="0.3">
      <c r="B17" s="11" t="s">
        <v>59</v>
      </c>
      <c r="C17" s="34">
        <v>0.14299999999999999</v>
      </c>
      <c r="D17" s="13"/>
      <c r="E17" s="109"/>
    </row>
    <row r="18" spans="2:5" ht="14.25" x14ac:dyDescent="0.3">
      <c r="B18" s="11" t="s">
        <v>102</v>
      </c>
      <c r="C18" s="34">
        <v>0.504</v>
      </c>
      <c r="D18" s="13"/>
      <c r="E18" s="109"/>
    </row>
    <row r="19" spans="2:5" ht="15" x14ac:dyDescent="0.3">
      <c r="B19" s="11" t="s">
        <v>103</v>
      </c>
      <c r="C19" s="35">
        <v>1.5100000000000001E-2</v>
      </c>
      <c r="D19" s="13"/>
      <c r="E19" s="109"/>
    </row>
    <row r="20" spans="2:5" x14ac:dyDescent="0.3">
      <c r="B20" s="11" t="s">
        <v>60</v>
      </c>
      <c r="C20" s="22">
        <f>C4*C12*C13*C18/1000</f>
        <v>0.54432000000000003</v>
      </c>
      <c r="D20" s="13" t="s">
        <v>61</v>
      </c>
      <c r="E20" s="14"/>
    </row>
    <row r="21" spans="2:5" x14ac:dyDescent="0.3">
      <c r="B21" s="11" t="s">
        <v>62</v>
      </c>
      <c r="C21" s="21">
        <f>C9/C20</f>
        <v>4133.5978835978831</v>
      </c>
      <c r="D21" s="13"/>
      <c r="E21" s="14"/>
    </row>
    <row r="22" spans="2:5" x14ac:dyDescent="0.3">
      <c r="B22" s="11"/>
      <c r="C22" s="22"/>
      <c r="D22" s="13"/>
      <c r="E22" s="14"/>
    </row>
    <row r="23" spans="2:5" ht="13.15" x14ac:dyDescent="0.3">
      <c r="B23" s="16" t="s">
        <v>29</v>
      </c>
      <c r="C23" s="23"/>
      <c r="D23" s="23"/>
      <c r="E23" s="24"/>
    </row>
    <row r="24" spans="2:5" ht="14.25" x14ac:dyDescent="0.3">
      <c r="B24" s="11" t="s">
        <v>104</v>
      </c>
      <c r="C24" s="21">
        <f>C13*C21</f>
        <v>2066.7989417989415</v>
      </c>
      <c r="D24" s="13" t="s">
        <v>44</v>
      </c>
      <c r="E24" s="14"/>
    </row>
    <row r="25" spans="2:5" x14ac:dyDescent="0.3">
      <c r="B25" s="11" t="s">
        <v>107</v>
      </c>
      <c r="C25" s="15">
        <f>C12*C13*C21</f>
        <v>8267.1957671957662</v>
      </c>
      <c r="D25" s="13" t="s">
        <v>27</v>
      </c>
      <c r="E25" s="14"/>
    </row>
    <row r="26" spans="2:5" ht="14.25" x14ac:dyDescent="0.3">
      <c r="B26" s="11"/>
      <c r="C26" s="21">
        <f>C25*24/1000</f>
        <v>198.4126984126984</v>
      </c>
      <c r="D26" s="13" t="s">
        <v>41</v>
      </c>
      <c r="E26" s="14"/>
    </row>
    <row r="27" spans="2:5" x14ac:dyDescent="0.3">
      <c r="B27" s="11" t="s">
        <v>105</v>
      </c>
      <c r="C27" s="15">
        <f>C25</f>
        <v>8267.1957671957662</v>
      </c>
      <c r="D27" s="13" t="s">
        <v>27</v>
      </c>
      <c r="E27" s="14"/>
    </row>
    <row r="28" spans="2:5" ht="14.25" x14ac:dyDescent="0.3">
      <c r="B28" s="11"/>
      <c r="C28" s="21">
        <f>C27*24/1000</f>
        <v>198.4126984126984</v>
      </c>
      <c r="D28" s="13" t="s">
        <v>41</v>
      </c>
      <c r="E28" s="14"/>
    </row>
    <row r="29" spans="2:5" ht="14.25" x14ac:dyDescent="0.3">
      <c r="B29" s="11" t="s">
        <v>106</v>
      </c>
      <c r="C29" s="21">
        <f>C26*(1-C17)</f>
        <v>170.03968253968253</v>
      </c>
      <c r="D29" s="13" t="s">
        <v>41</v>
      </c>
      <c r="E29" s="14"/>
    </row>
    <row r="30" spans="2:5" ht="14.25" x14ac:dyDescent="0.3">
      <c r="B30" s="11" t="s">
        <v>28</v>
      </c>
      <c r="C30" s="21">
        <f>C26*(1+C17)</f>
        <v>226.78571428571428</v>
      </c>
      <c r="D30" s="13" t="s">
        <v>41</v>
      </c>
      <c r="E30" s="14"/>
    </row>
    <row r="31" spans="2:5" ht="15" x14ac:dyDescent="0.3">
      <c r="B31" s="11" t="s">
        <v>45</v>
      </c>
      <c r="C31" s="21">
        <f>C5*C27*C19</f>
        <v>449.40476190476187</v>
      </c>
      <c r="D31" s="13" t="s">
        <v>26</v>
      </c>
      <c r="E31" s="14"/>
    </row>
    <row r="32" spans="2:5" ht="15" x14ac:dyDescent="0.3">
      <c r="B32" s="11" t="s">
        <v>65</v>
      </c>
      <c r="C32" s="20">
        <f>C31*100*24/1000000</f>
        <v>1.0785714285714285</v>
      </c>
      <c r="D32" s="13" t="s">
        <v>25</v>
      </c>
      <c r="E32" s="14" t="s">
        <v>46</v>
      </c>
    </row>
    <row r="33" spans="2:5" ht="14.65" x14ac:dyDescent="0.3">
      <c r="B33" s="11"/>
      <c r="C33" s="20">
        <f>C32/1.84</f>
        <v>0.58618012422360244</v>
      </c>
      <c r="D33" s="13" t="s">
        <v>41</v>
      </c>
      <c r="E33" s="14" t="s">
        <v>47</v>
      </c>
    </row>
    <row r="34" spans="2:5" ht="15" x14ac:dyDescent="0.3">
      <c r="B34" s="11" t="s">
        <v>66</v>
      </c>
      <c r="C34" s="21">
        <f>C33+(C30-C28)</f>
        <v>28.959195997239476</v>
      </c>
      <c r="D34" s="13" t="s">
        <v>41</v>
      </c>
      <c r="E34" s="14" t="s">
        <v>48</v>
      </c>
    </row>
    <row r="35" spans="2:5" x14ac:dyDescent="0.3">
      <c r="B35" s="11"/>
      <c r="C35" s="13"/>
      <c r="D35" s="13"/>
      <c r="E35" s="14"/>
    </row>
    <row r="36" spans="2:5" ht="13.15" x14ac:dyDescent="0.3">
      <c r="B36" s="16" t="s">
        <v>24</v>
      </c>
      <c r="C36" s="17"/>
      <c r="D36" s="17"/>
      <c r="E36" s="18"/>
    </row>
    <row r="37" spans="2:5" ht="14.25" x14ac:dyDescent="0.3">
      <c r="B37" s="11" t="s">
        <v>23</v>
      </c>
      <c r="C37" s="12">
        <v>60</v>
      </c>
      <c r="D37" s="13" t="s">
        <v>49</v>
      </c>
      <c r="E37" s="14" t="s">
        <v>22</v>
      </c>
    </row>
    <row r="38" spans="2:5" ht="14.25" x14ac:dyDescent="0.3">
      <c r="B38" s="11" t="s">
        <v>21</v>
      </c>
      <c r="C38" s="21">
        <f>C24/0.8</f>
        <v>2583.4986772486768</v>
      </c>
      <c r="D38" s="13" t="s">
        <v>44</v>
      </c>
      <c r="E38" s="14" t="s">
        <v>20</v>
      </c>
    </row>
    <row r="39" spans="2:5" x14ac:dyDescent="0.3">
      <c r="B39" s="11" t="s">
        <v>19</v>
      </c>
      <c r="C39" s="15">
        <f>C37*C38</f>
        <v>155009.92063492062</v>
      </c>
      <c r="D39" s="13" t="s">
        <v>18</v>
      </c>
      <c r="E39" s="14"/>
    </row>
    <row r="40" spans="2:5" x14ac:dyDescent="0.3">
      <c r="B40" s="11" t="s">
        <v>17</v>
      </c>
      <c r="C40" s="15">
        <f>C39*1.5</f>
        <v>232514.88095238095</v>
      </c>
      <c r="D40" s="13" t="s">
        <v>16</v>
      </c>
      <c r="E40" s="14" t="s">
        <v>15</v>
      </c>
    </row>
    <row r="41" spans="2:5" x14ac:dyDescent="0.3">
      <c r="B41" s="11" t="s">
        <v>14</v>
      </c>
      <c r="C41" s="15">
        <f>C40*0.5</f>
        <v>116257.44047619047</v>
      </c>
      <c r="D41" s="13" t="s">
        <v>13</v>
      </c>
      <c r="E41" s="14" t="s">
        <v>12</v>
      </c>
    </row>
    <row r="42" spans="2:5" ht="13.15" x14ac:dyDescent="0.3">
      <c r="B42" s="11" t="s">
        <v>11</v>
      </c>
      <c r="C42" s="12">
        <v>5</v>
      </c>
      <c r="D42" s="13" t="s">
        <v>10</v>
      </c>
      <c r="E42" s="14"/>
    </row>
    <row r="43" spans="2:5" ht="13.15" x14ac:dyDescent="0.3">
      <c r="B43" s="25" t="s">
        <v>9</v>
      </c>
      <c r="C43" s="15">
        <f>C40+C41</f>
        <v>348772.32142857142</v>
      </c>
      <c r="D43" s="13" t="s">
        <v>8</v>
      </c>
      <c r="E43" s="14" t="s">
        <v>7</v>
      </c>
    </row>
    <row r="44" spans="2:5" ht="13.15" x14ac:dyDescent="0.3">
      <c r="B44" s="11"/>
      <c r="C44" s="26">
        <f>C43/C42/300</f>
        <v>232.51488095238096</v>
      </c>
      <c r="D44" s="13" t="s">
        <v>5</v>
      </c>
      <c r="E44" s="14" t="s">
        <v>6</v>
      </c>
    </row>
    <row r="45" spans="2:5" ht="14.25" x14ac:dyDescent="0.3">
      <c r="B45" s="11" t="s">
        <v>108</v>
      </c>
      <c r="C45" s="19">
        <v>1</v>
      </c>
      <c r="D45" s="13" t="s">
        <v>50</v>
      </c>
      <c r="E45" s="14"/>
    </row>
    <row r="46" spans="2:5" ht="13.15" x14ac:dyDescent="0.3">
      <c r="B46" s="25" t="s">
        <v>109</v>
      </c>
      <c r="C46" s="26">
        <f>C45*C29</f>
        <v>170.03968253968253</v>
      </c>
      <c r="D46" s="13" t="s">
        <v>5</v>
      </c>
      <c r="E46" s="14"/>
    </row>
    <row r="47" spans="2:5" ht="15" x14ac:dyDescent="0.3">
      <c r="B47" s="11" t="s">
        <v>51</v>
      </c>
      <c r="C47" s="27">
        <v>16</v>
      </c>
      <c r="D47" s="13" t="s">
        <v>4</v>
      </c>
      <c r="E47" s="14" t="s">
        <v>110</v>
      </c>
    </row>
    <row r="48" spans="2:5" ht="14.65" x14ac:dyDescent="0.3">
      <c r="B48" s="25" t="s">
        <v>52</v>
      </c>
      <c r="C48" s="26">
        <f>C47*C32</f>
        <v>17.257142857142856</v>
      </c>
      <c r="D48" s="13" t="s">
        <v>3</v>
      </c>
      <c r="E48" s="14"/>
    </row>
    <row r="49" spans="2:5" x14ac:dyDescent="0.3">
      <c r="B49" s="11"/>
      <c r="C49" s="13"/>
      <c r="D49" s="13"/>
      <c r="E49" s="14"/>
    </row>
    <row r="50" spans="2:5" ht="13.15" x14ac:dyDescent="0.3">
      <c r="B50" s="28" t="s">
        <v>2</v>
      </c>
      <c r="C50" s="29">
        <f>C44+C46+C48</f>
        <v>419.81170634920636</v>
      </c>
      <c r="D50" s="30" t="s">
        <v>118</v>
      </c>
      <c r="E50" s="31" t="s">
        <v>1</v>
      </c>
    </row>
  </sheetData>
  <mergeCells count="10">
    <mergeCell ref="M3:M5"/>
    <mergeCell ref="N3:N5"/>
    <mergeCell ref="B2:E2"/>
    <mergeCell ref="E16:E19"/>
    <mergeCell ref="G3:G5"/>
    <mergeCell ref="L3:L5"/>
    <mergeCell ref="H3:H5"/>
    <mergeCell ref="I3:I5"/>
    <mergeCell ref="J3:J5"/>
    <mergeCell ref="K3:K5"/>
  </mergeCells>
  <phoneticPr fontId="7" type="noConversion"/>
  <pageMargins left="0.25" right="0.25" top="0.75" bottom="0.75" header="0.3" footer="0.3"/>
  <pageSetup paperSize="9" scale="71" orientation="landscape" horizontalDpi="4294967295" verticalDpi="4294967295" r:id="rId1"/>
  <ignoredErrors>
    <ignoredError sqref="C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ProcessData</vt:lpstr>
      <vt:lpstr>CostEstimation</vt:lpstr>
    </vt:vector>
  </TitlesOfParts>
  <LinksUpToDate>false</LinksUpToDate>
  <CharactersWithSpaces>0</CharactersWithSpaces>
  <SharedDoc>false</SharedDoc>
  <HyperlinksChanged>false</HyperlinksChanged>
  <AppVersion>16.0300</AppVersion>
  <Company/>
  <Manager/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Printed>2018-05-21T09:07:49Z</cp:lastPrin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